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D:\Jose Castillo Files\Transparency\Transparency FYE 2024\"/>
    </mc:Choice>
  </mc:AlternateContent>
  <xr:revisionPtr revIDLastSave="0" documentId="13_ncr:1_{C1288400-3626-4B92-B30E-D585F9ADD373}" xr6:coauthVersionLast="47" xr6:coauthVersionMax="47" xr10:uidLastSave="{00000000-0000-0000-0000-000000000000}"/>
  <bookViews>
    <workbookView xWindow="-120" yWindow="-120" windowWidth="29040" windowHeight="15720" tabRatio="835" xr2:uid="{00000000-000D-0000-FFFF-FFFF00000000}"/>
  </bookViews>
  <sheets>
    <sheet name="Aggregate" sheetId="2" r:id="rId1"/>
    <sheet name="Aggregate History" sheetId="9" r:id="rId2"/>
    <sheet name="FY 2024 Bonds " sheetId="17" r:id="rId3"/>
    <sheet name="Rev Debt" sheetId="5" r:id="rId4"/>
    <sheet name="Rev Debt - Maturity" sheetId="6" r:id="rId5"/>
    <sheet name="Rev Debt - Proceeds" sheetId="7" r:id="rId6"/>
    <sheet name="Outstanding debt" sheetId="13" r:id="rId7"/>
    <sheet name="CPI Index Data" sheetId="12" r:id="rId8"/>
  </sheets>
  <definedNames>
    <definedName name="_xlnm.Print_Area" localSheetId="0">Aggregate!$A$1:$F$43</definedName>
    <definedName name="_xlnm.Print_Area" localSheetId="1">'Aggregate History'!$B$1:$L$16</definedName>
    <definedName name="_xlnm.Print_Area" localSheetId="7">'CPI Index Data'!$A$1:$F$28</definedName>
    <definedName name="_xlnm.Print_Area" localSheetId="2">'FY 2024 Bonds '!$A$1:$AC$59</definedName>
    <definedName name="_xlnm.Print_Area" localSheetId="3">'Rev Debt'!$A$1:$S$57</definedName>
    <definedName name="_xlnm.Print_Area" localSheetId="4">'Rev Debt - Maturity'!$B$1:$I$294</definedName>
    <definedName name="_xlnm.Print_Area" localSheetId="5">'Rev Debt - Proceeds'!$A$1:$G$24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12" l="1"/>
  <c r="E4" i="12"/>
  <c r="E3" i="12"/>
  <c r="E2" i="12"/>
  <c r="I203" i="6"/>
  <c r="I201" i="6"/>
  <c r="I199" i="6"/>
  <c r="I197" i="6"/>
  <c r="I195" i="6"/>
  <c r="I193" i="6"/>
  <c r="I191" i="6"/>
  <c r="I189" i="6"/>
  <c r="I187" i="6"/>
  <c r="I185" i="6"/>
  <c r="I183" i="6"/>
  <c r="I181" i="6"/>
  <c r="I179" i="6"/>
  <c r="I177" i="6"/>
  <c r="I175" i="6"/>
  <c r="I173" i="6"/>
  <c r="I171" i="6"/>
  <c r="I169" i="6"/>
  <c r="I167" i="6"/>
  <c r="I165" i="6"/>
  <c r="I163" i="6"/>
  <c r="I161" i="6"/>
  <c r="I159" i="6"/>
  <c r="I157" i="6"/>
  <c r="I155" i="6"/>
  <c r="I153" i="6"/>
  <c r="I151" i="6"/>
  <c r="G203" i="6"/>
  <c r="H12" i="6"/>
  <c r="F11" i="6"/>
  <c r="H11" i="6"/>
  <c r="F13" i="6"/>
  <c r="F15" i="6"/>
  <c r="F17" i="6"/>
  <c r="F19" i="6"/>
  <c r="F21" i="6"/>
  <c r="F23" i="6"/>
  <c r="F25" i="6"/>
  <c r="F27" i="6"/>
  <c r="F29" i="6"/>
  <c r="F31" i="6"/>
  <c r="F33" i="6"/>
  <c r="F35" i="6"/>
  <c r="H53" i="6"/>
  <c r="G54" i="6"/>
  <c r="H54" i="6" s="1"/>
  <c r="H55" i="6"/>
  <c r="G56" i="6"/>
  <c r="H56" i="6" s="1"/>
  <c r="H57" i="6"/>
  <c r="G58" i="6"/>
  <c r="H58" i="6" s="1"/>
  <c r="H59" i="6"/>
  <c r="G60" i="6"/>
  <c r="H60" i="6"/>
  <c r="H61" i="6"/>
  <c r="G62" i="6"/>
  <c r="H62" i="6" s="1"/>
  <c r="I62" i="6" s="1"/>
  <c r="I13" i="9"/>
  <c r="G13" i="9"/>
  <c r="E13" i="9"/>
  <c r="C13" i="9"/>
  <c r="J12" i="9"/>
  <c r="H12" i="9"/>
  <c r="F12" i="9"/>
  <c r="D12" i="9"/>
  <c r="J11" i="9"/>
  <c r="H11" i="9"/>
  <c r="F11" i="9"/>
  <c r="D11" i="9"/>
  <c r="J10" i="9"/>
  <c r="H10" i="9"/>
  <c r="F10" i="9"/>
  <c r="D10" i="9"/>
  <c r="J9" i="9"/>
  <c r="H9" i="9"/>
  <c r="F9" i="9"/>
  <c r="D9" i="9"/>
  <c r="J8" i="9"/>
  <c r="H8" i="9"/>
  <c r="H13" i="9" s="1"/>
  <c r="F8" i="9"/>
  <c r="F13" i="9" s="1"/>
  <c r="D8" i="9"/>
  <c r="D13" i="9" s="1"/>
  <c r="J7" i="9"/>
  <c r="J13" i="9" s="1"/>
  <c r="H7" i="9"/>
  <c r="F7" i="9"/>
  <c r="D7" i="9"/>
  <c r="AA52" i="17"/>
  <c r="AA51" i="17"/>
  <c r="W58" i="17"/>
  <c r="W57" i="17"/>
  <c r="W56" i="17"/>
  <c r="W55" i="17"/>
  <c r="W54" i="17"/>
  <c r="W53" i="17"/>
  <c r="W52" i="17"/>
  <c r="U58" i="17"/>
  <c r="U57" i="17"/>
  <c r="U56" i="17"/>
  <c r="U55" i="17"/>
  <c r="U54" i="17"/>
  <c r="U53" i="17"/>
  <c r="O53" i="17"/>
  <c r="Q58" i="17"/>
  <c r="Q57" i="17"/>
  <c r="Q56" i="17"/>
  <c r="Q55" i="17"/>
  <c r="Q54" i="17"/>
  <c r="Q53" i="17"/>
  <c r="K43" i="17"/>
  <c r="O58" i="17"/>
  <c r="O57" i="17"/>
  <c r="O56" i="17"/>
  <c r="O55" i="17"/>
  <c r="O54" i="17"/>
  <c r="K58" i="17"/>
  <c r="K57" i="17"/>
  <c r="K56" i="17"/>
  <c r="K55" i="17"/>
  <c r="K54" i="17"/>
  <c r="K53" i="17"/>
  <c r="K49" i="17"/>
  <c r="K50" i="17"/>
  <c r="K51" i="17"/>
  <c r="K52" i="17"/>
  <c r="K48" i="17"/>
  <c r="I57" i="17"/>
  <c r="I58" i="17"/>
  <c r="I56" i="17"/>
  <c r="I53" i="17"/>
  <c r="E58" i="17"/>
  <c r="E57" i="17"/>
  <c r="E56" i="17"/>
  <c r="E55" i="17"/>
  <c r="E54" i="17"/>
  <c r="E53" i="17"/>
  <c r="C57" i="17"/>
  <c r="C56" i="17"/>
  <c r="C55" i="17"/>
  <c r="C54" i="17"/>
  <c r="C53" i="17"/>
  <c r="G285" i="6"/>
  <c r="Q25" i="17"/>
  <c r="Q24" i="17"/>
  <c r="Q23" i="17"/>
  <c r="Q22" i="17"/>
  <c r="Q21" i="17"/>
  <c r="Q20" i="17"/>
  <c r="Q19" i="17"/>
  <c r="Q18" i="17"/>
  <c r="Q17" i="17"/>
  <c r="Q16" i="17"/>
  <c r="W16" i="17" s="1"/>
  <c r="Q15" i="17"/>
  <c r="Q14" i="17"/>
  <c r="Q13" i="17"/>
  <c r="Q12" i="17"/>
  <c r="Q11" i="17"/>
  <c r="W51" i="17" s="1"/>
  <c r="Q10" i="17"/>
  <c r="Q9" i="17"/>
  <c r="W49" i="17" s="1"/>
  <c r="M25" i="17"/>
  <c r="M24" i="17"/>
  <c r="M23" i="17"/>
  <c r="W23" i="17" s="1"/>
  <c r="M22" i="17"/>
  <c r="M21" i="17"/>
  <c r="M20" i="17"/>
  <c r="M19" i="17"/>
  <c r="W19" i="17" s="1"/>
  <c r="M18" i="17"/>
  <c r="M17" i="17"/>
  <c r="M16" i="17"/>
  <c r="M15" i="17"/>
  <c r="M14" i="17"/>
  <c r="M13" i="17"/>
  <c r="M12" i="17"/>
  <c r="W12" i="17" s="1"/>
  <c r="M11" i="17"/>
  <c r="Q51" i="17" s="1"/>
  <c r="M10" i="17"/>
  <c r="Q50" i="17" s="1"/>
  <c r="M9" i="17"/>
  <c r="Q49" i="17" s="1"/>
  <c r="K13" i="9"/>
  <c r="L12" i="9"/>
  <c r="L11" i="9"/>
  <c r="L10" i="9"/>
  <c r="L9" i="9"/>
  <c r="L8" i="9"/>
  <c r="U51" i="17"/>
  <c r="U50" i="17"/>
  <c r="U49" i="17"/>
  <c r="U48" i="17"/>
  <c r="O49" i="17"/>
  <c r="O50" i="17"/>
  <c r="O48" i="17"/>
  <c r="E52" i="17"/>
  <c r="G52" i="17" s="1"/>
  <c r="W33" i="17"/>
  <c r="W34" i="17"/>
  <c r="W35" i="17"/>
  <c r="W36" i="17"/>
  <c r="W37" i="17"/>
  <c r="W38" i="17"/>
  <c r="W39" i="17"/>
  <c r="W40" i="17"/>
  <c r="W26" i="17"/>
  <c r="W27" i="17"/>
  <c r="W28" i="17"/>
  <c r="W29" i="17"/>
  <c r="W30" i="17"/>
  <c r="W31" i="17"/>
  <c r="W32" i="17"/>
  <c r="U31" i="17"/>
  <c r="U32" i="17"/>
  <c r="U33" i="17"/>
  <c r="U34" i="17"/>
  <c r="U35" i="17"/>
  <c r="U36" i="17"/>
  <c r="U37" i="17"/>
  <c r="U38" i="17"/>
  <c r="U39" i="17"/>
  <c r="U40" i="17"/>
  <c r="U20" i="17"/>
  <c r="U21" i="17"/>
  <c r="U22" i="17"/>
  <c r="U23" i="17"/>
  <c r="U24" i="17"/>
  <c r="U25" i="17"/>
  <c r="U26" i="17"/>
  <c r="U27" i="17"/>
  <c r="U28" i="17"/>
  <c r="U29" i="17"/>
  <c r="U30" i="17"/>
  <c r="U9" i="17"/>
  <c r="U10" i="17"/>
  <c r="U11" i="17"/>
  <c r="U12" i="17"/>
  <c r="U13" i="17"/>
  <c r="U14" i="17"/>
  <c r="U15" i="17"/>
  <c r="U16" i="17"/>
  <c r="U17" i="17"/>
  <c r="U18" i="17"/>
  <c r="U19" i="17"/>
  <c r="A10" i="17"/>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I56" i="6" l="1"/>
  <c r="I60" i="6"/>
  <c r="I54" i="6"/>
  <c r="G14" i="6"/>
  <c r="H14" i="6" s="1"/>
  <c r="H13" i="6"/>
  <c r="I58" i="6"/>
  <c r="W18" i="17"/>
  <c r="AA50" i="17"/>
  <c r="L13" i="9"/>
  <c r="M52" i="17"/>
  <c r="W24" i="17"/>
  <c r="W13" i="17"/>
  <c r="W25" i="17"/>
  <c r="W11" i="17"/>
  <c r="W20" i="17"/>
  <c r="W21" i="17"/>
  <c r="W10" i="17"/>
  <c r="W22" i="17"/>
  <c r="S52" i="17"/>
  <c r="W9" i="17"/>
  <c r="W50" i="17"/>
  <c r="W17" i="17"/>
  <c r="W14" i="17"/>
  <c r="W15" i="17"/>
  <c r="Y52" i="17"/>
  <c r="AA49" i="17"/>
  <c r="AA48" i="17"/>
  <c r="G15" i="6" l="1"/>
  <c r="I14" i="6"/>
  <c r="G16" i="6"/>
  <c r="H15" i="6"/>
  <c r="AC52" i="17"/>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G14" i="7"/>
  <c r="G9" i="7"/>
  <c r="G7" i="7"/>
  <c r="E8" i="5"/>
  <c r="M42" i="5"/>
  <c r="S36" i="5"/>
  <c r="S35" i="5"/>
  <c r="P42" i="5"/>
  <c r="S34" i="5"/>
  <c r="S7" i="5"/>
  <c r="J8" i="5"/>
  <c r="C58" i="17"/>
  <c r="C43" i="17"/>
  <c r="E43" i="17"/>
  <c r="G43" i="17"/>
  <c r="I43" i="17"/>
  <c r="O43" i="17"/>
  <c r="E48" i="17"/>
  <c r="E49" i="17"/>
  <c r="E50" i="17"/>
  <c r="E51" i="17"/>
  <c r="Y58" i="17"/>
  <c r="G17" i="6" l="1"/>
  <c r="H16" i="6"/>
  <c r="I16" i="6" s="1"/>
  <c r="G51" i="17"/>
  <c r="AC51" i="17"/>
  <c r="G50" i="17"/>
  <c r="AC50" i="17"/>
  <c r="G49" i="17"/>
  <c r="AC49" i="17"/>
  <c r="AC56" i="17"/>
  <c r="AA54" i="17"/>
  <c r="G48" i="17"/>
  <c r="AC48" i="17"/>
  <c r="AA55" i="17"/>
  <c r="AA56" i="17"/>
  <c r="AA57" i="17"/>
  <c r="AC58" i="17"/>
  <c r="AA58" i="17"/>
  <c r="AC57" i="17"/>
  <c r="AA53" i="17"/>
  <c r="G58" i="17"/>
  <c r="M53" i="17"/>
  <c r="S56" i="17"/>
  <c r="G54" i="17"/>
  <c r="S58" i="17"/>
  <c r="M49" i="17"/>
  <c r="Y57" i="17"/>
  <c r="Y53" i="17"/>
  <c r="G55" i="17"/>
  <c r="G53" i="17"/>
  <c r="G56" i="17"/>
  <c r="S48" i="17"/>
  <c r="M54" i="17"/>
  <c r="Y49" i="17"/>
  <c r="Y54" i="17"/>
  <c r="U43" i="17"/>
  <c r="S57" i="17"/>
  <c r="O59" i="17"/>
  <c r="Y50" i="17"/>
  <c r="Y56" i="17"/>
  <c r="M50" i="17"/>
  <c r="Y48" i="17"/>
  <c r="S51" i="17"/>
  <c r="S49" i="17"/>
  <c r="W43" i="17"/>
  <c r="M57" i="17"/>
  <c r="M56" i="17"/>
  <c r="M55" i="17"/>
  <c r="Y51" i="17"/>
  <c r="G57" i="17"/>
  <c r="K59" i="17"/>
  <c r="Y55" i="17"/>
  <c r="M51" i="17"/>
  <c r="M48" i="17"/>
  <c r="I59" i="17"/>
  <c r="S50" i="17"/>
  <c r="Q43" i="17"/>
  <c r="E59" i="17"/>
  <c r="M43" i="17"/>
  <c r="C59" i="17"/>
  <c r="U59" i="17"/>
  <c r="H17" i="6" l="1"/>
  <c r="G18" i="6"/>
  <c r="S55" i="17"/>
  <c r="AC55" i="17"/>
  <c r="S54" i="17"/>
  <c r="AC54" i="17"/>
  <c r="S53" i="17"/>
  <c r="AC53" i="17"/>
  <c r="G59" i="17"/>
  <c r="W59" i="17"/>
  <c r="M59" i="17"/>
  <c r="Y59" i="17"/>
  <c r="AA59" i="17"/>
  <c r="Q59" i="17"/>
  <c r="H18" i="6" l="1"/>
  <c r="G19" i="6"/>
  <c r="I18" i="6"/>
  <c r="S59" i="17"/>
  <c r="AC59" i="17"/>
  <c r="H19" i="6" l="1"/>
  <c r="G20" i="6"/>
  <c r="C42" i="2"/>
  <c r="G211" i="6"/>
  <c r="G293" i="6"/>
  <c r="G283" i="6"/>
  <c r="H283" i="6" s="1"/>
  <c r="H285" i="6"/>
  <c r="D289" i="6"/>
  <c r="H284" i="6"/>
  <c r="H282" i="6"/>
  <c r="G281" i="6"/>
  <c r="H281" i="6" s="1"/>
  <c r="H280" i="6"/>
  <c r="G279" i="6"/>
  <c r="H279" i="6" s="1"/>
  <c r="H278" i="6"/>
  <c r="G277" i="6"/>
  <c r="H277" i="6" s="1"/>
  <c r="H276" i="6"/>
  <c r="G275" i="6"/>
  <c r="H275" i="6" s="1"/>
  <c r="H274" i="6"/>
  <c r="G273" i="6"/>
  <c r="H273" i="6" s="1"/>
  <c r="H272" i="6"/>
  <c r="G271" i="6"/>
  <c r="H271" i="6" s="1"/>
  <c r="H270" i="6"/>
  <c r="G269" i="6"/>
  <c r="H269" i="6" s="1"/>
  <c r="H268" i="6"/>
  <c r="G267" i="6"/>
  <c r="H267" i="6" s="1"/>
  <c r="H266" i="6"/>
  <c r="G265" i="6"/>
  <c r="H265" i="6" s="1"/>
  <c r="H264" i="6"/>
  <c r="G263" i="6"/>
  <c r="H263" i="6" s="1"/>
  <c r="H262" i="6"/>
  <c r="G261" i="6"/>
  <c r="H261" i="6" s="1"/>
  <c r="H260" i="6"/>
  <c r="G259" i="6"/>
  <c r="H259" i="6" s="1"/>
  <c r="H258" i="6"/>
  <c r="G257" i="6"/>
  <c r="H257" i="6" s="1"/>
  <c r="H256" i="6"/>
  <c r="G255" i="6"/>
  <c r="H255" i="6" s="1"/>
  <c r="H254" i="6"/>
  <c r="G253" i="6"/>
  <c r="H253" i="6" s="1"/>
  <c r="H252" i="6"/>
  <c r="G251" i="6"/>
  <c r="H251" i="6" s="1"/>
  <c r="H250" i="6"/>
  <c r="G249" i="6"/>
  <c r="H249" i="6" s="1"/>
  <c r="H248" i="6"/>
  <c r="G247" i="6"/>
  <c r="H247" i="6" s="1"/>
  <c r="H246" i="6"/>
  <c r="H244" i="6"/>
  <c r="F244" i="6"/>
  <c r="G245" i="6" s="1"/>
  <c r="H245" i="6" s="1"/>
  <c r="H242" i="6"/>
  <c r="F242" i="6"/>
  <c r="G243" i="6" s="1"/>
  <c r="H243" i="6" s="1"/>
  <c r="H240" i="6"/>
  <c r="F240" i="6"/>
  <c r="G241" i="6" s="1"/>
  <c r="H241" i="6" s="1"/>
  <c r="I241" i="6" s="1"/>
  <c r="H238" i="6"/>
  <c r="F238" i="6"/>
  <c r="G239" i="6" s="1"/>
  <c r="H239" i="6" s="1"/>
  <c r="I239" i="6" s="1"/>
  <c r="H236" i="6"/>
  <c r="F236" i="6"/>
  <c r="G237" i="6" s="1"/>
  <c r="H237" i="6" s="1"/>
  <c r="H234" i="6"/>
  <c r="F234" i="6"/>
  <c r="G235" i="6" s="1"/>
  <c r="H235" i="6" s="1"/>
  <c r="H232" i="6"/>
  <c r="F232" i="6"/>
  <c r="G233" i="6" s="1"/>
  <c r="H233" i="6" s="1"/>
  <c r="H230" i="6"/>
  <c r="F230" i="6"/>
  <c r="H231" i="6" s="1"/>
  <c r="H229" i="6"/>
  <c r="H228" i="6"/>
  <c r="F228" i="6"/>
  <c r="H227" i="6"/>
  <c r="H226" i="6"/>
  <c r="F226" i="6"/>
  <c r="H225" i="6"/>
  <c r="H224" i="6"/>
  <c r="I225" i="6" s="1"/>
  <c r="F224" i="6"/>
  <c r="H223" i="6"/>
  <c r="F222" i="6"/>
  <c r="H180" i="6"/>
  <c r="H182" i="6"/>
  <c r="H184" i="6"/>
  <c r="H186" i="6"/>
  <c r="H188" i="6"/>
  <c r="H190" i="6"/>
  <c r="H192" i="6"/>
  <c r="H194" i="6"/>
  <c r="H196" i="6"/>
  <c r="H198" i="6"/>
  <c r="H200" i="6"/>
  <c r="H202" i="6"/>
  <c r="H178" i="6"/>
  <c r="H203" i="6"/>
  <c r="G201" i="6"/>
  <c r="H201" i="6" s="1"/>
  <c r="G199" i="6"/>
  <c r="H199" i="6" s="1"/>
  <c r="G197" i="6"/>
  <c r="H197" i="6" s="1"/>
  <c r="G195" i="6"/>
  <c r="H195" i="6" s="1"/>
  <c r="G193" i="6"/>
  <c r="H193" i="6" s="1"/>
  <c r="G191" i="6"/>
  <c r="H191" i="6" s="1"/>
  <c r="G187" i="6"/>
  <c r="G189" i="6" s="1"/>
  <c r="H189" i="6" s="1"/>
  <c r="G181" i="6"/>
  <c r="G183" i="6" s="1"/>
  <c r="G185" i="6" s="1"/>
  <c r="H185" i="6" s="1"/>
  <c r="G179" i="6"/>
  <c r="H179" i="6" s="1"/>
  <c r="D207" i="6"/>
  <c r="G177" i="6"/>
  <c r="H177" i="6" s="1"/>
  <c r="H176" i="6"/>
  <c r="G175" i="6"/>
  <c r="H175" i="6" s="1"/>
  <c r="H174" i="6"/>
  <c r="G173" i="6"/>
  <c r="H173" i="6" s="1"/>
  <c r="H172" i="6"/>
  <c r="G171" i="6"/>
  <c r="H171" i="6" s="1"/>
  <c r="H170" i="6"/>
  <c r="G169" i="6"/>
  <c r="H169" i="6" s="1"/>
  <c r="H168" i="6"/>
  <c r="G167" i="6"/>
  <c r="H167" i="6" s="1"/>
  <c r="H166" i="6"/>
  <c r="G165" i="6"/>
  <c r="H165" i="6" s="1"/>
  <c r="H164" i="6"/>
  <c r="H162" i="6"/>
  <c r="F162" i="6"/>
  <c r="G163" i="6" s="1"/>
  <c r="H163" i="6" s="1"/>
  <c r="H160" i="6"/>
  <c r="F160" i="6"/>
  <c r="G161" i="6" s="1"/>
  <c r="H161" i="6" s="1"/>
  <c r="H158" i="6"/>
  <c r="F158" i="6"/>
  <c r="G159" i="6" s="1"/>
  <c r="H159" i="6" s="1"/>
  <c r="H156" i="6"/>
  <c r="F156" i="6"/>
  <c r="G157" i="6" s="1"/>
  <c r="H157" i="6" s="1"/>
  <c r="H154" i="6"/>
  <c r="F154" i="6"/>
  <c r="G155" i="6" s="1"/>
  <c r="H155" i="6" s="1"/>
  <c r="H152" i="6"/>
  <c r="F152" i="6"/>
  <c r="G153" i="6" s="1"/>
  <c r="H153" i="6" s="1"/>
  <c r="H150" i="6"/>
  <c r="F150" i="6"/>
  <c r="G151" i="6" s="1"/>
  <c r="H151" i="6" s="1"/>
  <c r="H148" i="6"/>
  <c r="F148" i="6"/>
  <c r="G149" i="6" s="1"/>
  <c r="H149" i="6" s="1"/>
  <c r="H146" i="6"/>
  <c r="F146" i="6"/>
  <c r="H147" i="6" s="1"/>
  <c r="H145" i="6"/>
  <c r="H144" i="6"/>
  <c r="F144" i="6"/>
  <c r="H142" i="6"/>
  <c r="F142" i="6"/>
  <c r="H143" i="6" s="1"/>
  <c r="H140" i="6"/>
  <c r="F140" i="6"/>
  <c r="H141" i="6" s="1"/>
  <c r="H20" i="6" l="1"/>
  <c r="G21" i="6"/>
  <c r="I20" i="6"/>
  <c r="I245" i="6"/>
  <c r="I249" i="6"/>
  <c r="I251" i="6"/>
  <c r="I263" i="6"/>
  <c r="I275" i="6"/>
  <c r="I243" i="6"/>
  <c r="I261" i="6"/>
  <c r="I145" i="6"/>
  <c r="I257" i="6"/>
  <c r="I269" i="6"/>
  <c r="I281" i="6"/>
  <c r="H181" i="6"/>
  <c r="H183" i="6"/>
  <c r="I223" i="6"/>
  <c r="I255" i="6"/>
  <c r="I267" i="6"/>
  <c r="I279" i="6"/>
  <c r="I227" i="6"/>
  <c r="I285" i="6"/>
  <c r="H187" i="6"/>
  <c r="I229" i="6"/>
  <c r="I273" i="6"/>
  <c r="I271" i="6"/>
  <c r="I231" i="6"/>
  <c r="F289" i="6"/>
  <c r="I283" i="6"/>
  <c r="I277" i="6"/>
  <c r="I265" i="6"/>
  <c r="I259" i="6"/>
  <c r="I253" i="6"/>
  <c r="I247" i="6"/>
  <c r="I237" i="6"/>
  <c r="I233" i="6"/>
  <c r="G289" i="6"/>
  <c r="I235" i="6"/>
  <c r="H289" i="6"/>
  <c r="G207" i="6"/>
  <c r="F207" i="6"/>
  <c r="I143" i="6"/>
  <c r="H21" i="6" l="1"/>
  <c r="G22" i="6"/>
  <c r="H207" i="6"/>
  <c r="I289" i="6"/>
  <c r="I207" i="6"/>
  <c r="S33" i="5"/>
  <c r="S32" i="5"/>
  <c r="S31" i="5"/>
  <c r="S30" i="5"/>
  <c r="S29" i="5"/>
  <c r="S28" i="5"/>
  <c r="S27" i="5"/>
  <c r="S26" i="5"/>
  <c r="S25" i="5"/>
  <c r="S24" i="5"/>
  <c r="S23" i="5"/>
  <c r="S22" i="5"/>
  <c r="S21" i="5"/>
  <c r="S20" i="5"/>
  <c r="S19" i="5"/>
  <c r="S18" i="5"/>
  <c r="S17" i="5"/>
  <c r="S16" i="5"/>
  <c r="S15" i="5"/>
  <c r="S14" i="5"/>
  <c r="S13" i="5"/>
  <c r="S12" i="5"/>
  <c r="S11" i="5"/>
  <c r="S10" i="5"/>
  <c r="S9" i="5"/>
  <c r="S8" i="5"/>
  <c r="S6" i="5"/>
  <c r="S5" i="5"/>
  <c r="H22" i="6" l="1"/>
  <c r="I22" i="6" s="1"/>
  <c r="G23" i="6"/>
  <c r="S42" i="5"/>
  <c r="G11" i="7"/>
  <c r="H23" i="6" l="1"/>
  <c r="G24" i="6"/>
  <c r="G71" i="6"/>
  <c r="G121" i="6"/>
  <c r="G119" i="6"/>
  <c r="G117" i="6"/>
  <c r="G113" i="6"/>
  <c r="G111" i="6"/>
  <c r="G127" i="6"/>
  <c r="D124" i="6"/>
  <c r="F106" i="6"/>
  <c r="F104" i="6"/>
  <c r="F102" i="6"/>
  <c r="G103" i="6" s="1"/>
  <c r="F100" i="6"/>
  <c r="F98" i="6"/>
  <c r="F96" i="6"/>
  <c r="G97" i="6" s="1"/>
  <c r="F94" i="6"/>
  <c r="F92" i="6"/>
  <c r="F90" i="6"/>
  <c r="G91" i="6" s="1"/>
  <c r="F88" i="6"/>
  <c r="G89" i="6" s="1"/>
  <c r="F86" i="6"/>
  <c r="F84" i="6"/>
  <c r="F10" i="6"/>
  <c r="D67" i="6"/>
  <c r="G64" i="6"/>
  <c r="H64" i="6" s="1"/>
  <c r="H63" i="6"/>
  <c r="G25" i="6" l="1"/>
  <c r="H24" i="6"/>
  <c r="I24" i="6" s="1"/>
  <c r="F124" i="6"/>
  <c r="F67" i="6"/>
  <c r="I64" i="6"/>
  <c r="J7" i="5"/>
  <c r="J6" i="5"/>
  <c r="E7" i="5"/>
  <c r="H25" i="6" l="1"/>
  <c r="G26" i="6"/>
  <c r="G27" i="6" l="1"/>
  <c r="H26" i="6"/>
  <c r="I26" i="6"/>
  <c r="H27" i="6" l="1"/>
  <c r="G28" i="6"/>
  <c r="G85" i="6"/>
  <c r="H84" i="6"/>
  <c r="C11" i="5"/>
  <c r="G29" i="6" l="1"/>
  <c r="H28" i="6"/>
  <c r="I28" i="6" s="1"/>
  <c r="H85" i="6"/>
  <c r="I85" i="6" s="1"/>
  <c r="E6" i="12"/>
  <c r="G30" i="6" l="1"/>
  <c r="H29" i="6"/>
  <c r="G87" i="6"/>
  <c r="H86" i="6"/>
  <c r="H30" i="6" l="1"/>
  <c r="I30" i="6" s="1"/>
  <c r="G31" i="6"/>
  <c r="H87" i="6"/>
  <c r="I87" i="6" s="1"/>
  <c r="H31" i="6" l="1"/>
  <c r="G32" i="6"/>
  <c r="H88" i="6"/>
  <c r="H32" i="6" l="1"/>
  <c r="I32" i="6" s="1"/>
  <c r="G33" i="6"/>
  <c r="H89" i="6"/>
  <c r="I89" i="6" s="1"/>
  <c r="H33" i="6" l="1"/>
  <c r="G34" i="6"/>
  <c r="H90" i="6"/>
  <c r="G35" i="6" l="1"/>
  <c r="H34" i="6"/>
  <c r="I34" i="6" s="1"/>
  <c r="H91" i="6"/>
  <c r="I91" i="6" s="1"/>
  <c r="F21" i="7"/>
  <c r="E21" i="7"/>
  <c r="H35" i="6" l="1"/>
  <c r="G36" i="6"/>
  <c r="H92" i="6"/>
  <c r="G93" i="6"/>
  <c r="H36" i="6" l="1"/>
  <c r="I36" i="6" s="1"/>
  <c r="G37" i="6"/>
  <c r="H93" i="6"/>
  <c r="I93" i="6" s="1"/>
  <c r="H37" i="6" l="1"/>
  <c r="G38" i="6"/>
  <c r="G95" i="6"/>
  <c r="H94" i="6"/>
  <c r="H38" i="6" l="1"/>
  <c r="G39" i="6"/>
  <c r="I38" i="6"/>
  <c r="H95" i="6"/>
  <c r="I95" i="6" s="1"/>
  <c r="G40" i="6" l="1"/>
  <c r="H39" i="6"/>
  <c r="H96" i="6"/>
  <c r="E6" i="5"/>
  <c r="E9" i="5"/>
  <c r="D11" i="5"/>
  <c r="J9" i="5"/>
  <c r="H11" i="5"/>
  <c r="I11" i="5"/>
  <c r="D19" i="7"/>
  <c r="H40" i="6" l="1"/>
  <c r="I40" i="6" s="1"/>
  <c r="G41" i="6"/>
  <c r="H97" i="6"/>
  <c r="I97" i="6" s="1"/>
  <c r="J11" i="5"/>
  <c r="E11" i="5"/>
  <c r="E19" i="7"/>
  <c r="F19" i="7"/>
  <c r="F22" i="7" s="1"/>
  <c r="D22" i="7"/>
  <c r="H41" i="6" l="1"/>
  <c r="G42" i="6"/>
  <c r="G99" i="6"/>
  <c r="H98" i="6"/>
  <c r="G19" i="7"/>
  <c r="G22" i="7" s="1"/>
  <c r="E22" i="7"/>
  <c r="H42" i="6" l="1"/>
  <c r="I42" i="6" s="1"/>
  <c r="G43" i="6"/>
  <c r="H99" i="6"/>
  <c r="I99" i="6" s="1"/>
  <c r="H43" i="6" l="1"/>
  <c r="G44" i="6"/>
  <c r="G101" i="6"/>
  <c r="H100" i="6"/>
  <c r="H44" i="6" l="1"/>
  <c r="G45" i="6"/>
  <c r="I44" i="6"/>
  <c r="H101" i="6"/>
  <c r="I101" i="6" s="1"/>
  <c r="H45" i="6" l="1"/>
  <c r="G46" i="6"/>
  <c r="H102" i="6"/>
  <c r="H46" i="6" l="1"/>
  <c r="I46" i="6" s="1"/>
  <c r="G47" i="6"/>
  <c r="H103" i="6"/>
  <c r="I103" i="6" s="1"/>
  <c r="H47" i="6" l="1"/>
  <c r="G48" i="6"/>
  <c r="H104" i="6"/>
  <c r="G105" i="6"/>
  <c r="H48" i="6" l="1"/>
  <c r="G49" i="6"/>
  <c r="I48" i="6"/>
  <c r="H105" i="6"/>
  <c r="I105" i="6" s="1"/>
  <c r="G50" i="6" l="1"/>
  <c r="H49" i="6"/>
  <c r="G107" i="6"/>
  <c r="H106" i="6"/>
  <c r="G51" i="6" l="1"/>
  <c r="H50" i="6"/>
  <c r="I50" i="6" s="1"/>
  <c r="H107" i="6"/>
  <c r="I107" i="6" s="1"/>
  <c r="H51" i="6" l="1"/>
  <c r="G52" i="6"/>
  <c r="H52" i="6" s="1"/>
  <c r="H108" i="6"/>
  <c r="G109" i="6"/>
  <c r="I52" i="6" l="1"/>
  <c r="H109" i="6"/>
  <c r="I109" i="6" s="1"/>
  <c r="R42" i="5"/>
  <c r="Q42" i="5"/>
  <c r="O42" i="5"/>
  <c r="N42" i="5"/>
  <c r="H110" i="6" l="1"/>
  <c r="H111" i="6" l="1"/>
  <c r="I111" i="6" s="1"/>
  <c r="D42" i="2"/>
  <c r="H112" i="6" l="1"/>
  <c r="E42" i="2"/>
  <c r="H113" i="6" l="1"/>
  <c r="I113" i="6" s="1"/>
  <c r="G115" i="6" l="1"/>
  <c r="H114" i="6"/>
  <c r="H115" i="6" l="1"/>
  <c r="I115" i="6" s="1"/>
  <c r="H116" i="6" l="1"/>
  <c r="H117" i="6" l="1"/>
  <c r="I117" i="6" s="1"/>
  <c r="H118" i="6" l="1"/>
  <c r="H119" i="6" l="1"/>
  <c r="I119" i="6" s="1"/>
  <c r="H120" i="6" l="1"/>
  <c r="H121" i="6" l="1"/>
  <c r="I121" i="6" s="1"/>
  <c r="G67" i="6" l="1"/>
  <c r="H67" i="6" l="1"/>
  <c r="H124" i="6"/>
  <c r="G124" i="6"/>
  <c r="I67" i="6"/>
  <c r="I124" i="6" l="1"/>
</calcChain>
</file>

<file path=xl/sharedStrings.xml><?xml version="1.0" encoding="utf-8"?>
<sst xmlns="http://schemas.openxmlformats.org/spreadsheetml/2006/main" count="436" uniqueCount="115">
  <si>
    <t>All Issues</t>
  </si>
  <si>
    <t xml:space="preserve"> Series</t>
  </si>
  <si>
    <t>Principal</t>
  </si>
  <si>
    <t>Interest</t>
  </si>
  <si>
    <t xml:space="preserve"> Total</t>
  </si>
  <si>
    <t>Fiscal Year</t>
  </si>
  <si>
    <t>TOTAL CURRENT</t>
  </si>
  <si>
    <t>TOTAL ALL</t>
  </si>
  <si>
    <t>DEBT SERVICE REQUIREMENTS SUMMARY</t>
  </si>
  <si>
    <t>PRINCIPAL AND INTEREST SCHEDULE</t>
  </si>
  <si>
    <t>Combined Total</t>
  </si>
  <si>
    <t>Revenue Backed Debt</t>
  </si>
  <si>
    <t>SERIES</t>
  </si>
  <si>
    <t>PURPOSE</t>
  </si>
  <si>
    <t>PRINCIPAL</t>
  </si>
  <si>
    <t>INTEREST</t>
  </si>
  <si>
    <t>TOTAL</t>
  </si>
  <si>
    <t>ISSUED</t>
  </si>
  <si>
    <t>OUTSTANDING</t>
  </si>
  <si>
    <t>MATURITY</t>
  </si>
  <si>
    <t>RATE</t>
  </si>
  <si>
    <t>PER MATURITY</t>
  </si>
  <si>
    <t>FY TOTAL</t>
  </si>
  <si>
    <t>BOND MATURITY SCHEDULE</t>
  </si>
  <si>
    <t>Total Proceeds Received:</t>
  </si>
  <si>
    <t>Proceeds Spent:</t>
  </si>
  <si>
    <t>Proceeds Unspent:</t>
  </si>
  <si>
    <t>Current Revenue Bonds</t>
  </si>
  <si>
    <t>Total Outstanding Revenue Bonds (All Years)</t>
  </si>
  <si>
    <t>Total Outstanding Revenue Bonds</t>
  </si>
  <si>
    <t>Population:</t>
  </si>
  <si>
    <t>Per Capita</t>
  </si>
  <si>
    <t>Population Source:  US Census</t>
  </si>
  <si>
    <t xml:space="preserve">TOTAL OUTSTANDING  DEBT SERVICE </t>
  </si>
  <si>
    <t>HIDALGO COUNTY REGIONAL MOBILITY AUTHORITY</t>
  </si>
  <si>
    <t>Senior Lien Vehicle Registration Fee Revenue &amp; Refunding Bonds, Series 2013</t>
  </si>
  <si>
    <t>Total</t>
  </si>
  <si>
    <t xml:space="preserve">Principal </t>
  </si>
  <si>
    <t>Yr</t>
  </si>
  <si>
    <t>Combined Totals</t>
  </si>
  <si>
    <t>Original Amount</t>
  </si>
  <si>
    <t>TOTALS</t>
  </si>
  <si>
    <t>Per Capita  Revenue Bond Debt Payable</t>
  </si>
  <si>
    <t xml:space="preserve">Outstanding Debt Service Requirements as of December 31, </t>
  </si>
  <si>
    <t xml:space="preserve"> Year</t>
  </si>
  <si>
    <t>6/1</t>
  </si>
  <si>
    <t>12/1</t>
  </si>
  <si>
    <t>Revenue-supported debt per capita</t>
  </si>
  <si>
    <t>Population</t>
  </si>
  <si>
    <t>Inflation-Adjusted Tax-supported Debt per Capita</t>
  </si>
  <si>
    <t>Note: The inflation adjustement above uses inflation adjustment uses the Consumer Price Index (CPI) from the calculations of the US Inflation Calculator</t>
  </si>
  <si>
    <t>US Inflation: http://www.usinflationcalculator.com/</t>
  </si>
  <si>
    <t>CPI Databases: http://www.bls.gov/cpi/#data</t>
  </si>
  <si>
    <t>Outstanding</t>
  </si>
  <si>
    <t>Senior Lien Vehicle Registration Fee Revenue Bonds, Series 2020A</t>
  </si>
  <si>
    <t>Senior Lien Vehicle Registration Fee Revenue &amp; Refunding Bonds, Series 2020B</t>
  </si>
  <si>
    <t>Senior Lien Bonds, Series 2020A</t>
  </si>
  <si>
    <t>REVENUE BONDS, TAX EXEMPT</t>
  </si>
  <si>
    <t>SERIES 2020A</t>
  </si>
  <si>
    <t>SERIES 2020B</t>
  </si>
  <si>
    <t>REVENUE REFUNDING BONDS, TAXABLE</t>
  </si>
  <si>
    <t>Tax Exempt Bonds 2020A</t>
  </si>
  <si>
    <t>Revenue Refunding Bonds 2020B</t>
  </si>
  <si>
    <t>Series 2020A</t>
  </si>
  <si>
    <t>Series 2020B</t>
  </si>
  <si>
    <t>All Combinted Issues</t>
  </si>
  <si>
    <t>Proceeds from the sale of the Bonds will be used for the purpose of (i) pay the Project Costs, (ii) pay the premium for a Reserve Fund Surety Policy for the Tax-Exempt Bonds, and (iii) pay cost of issuance.</t>
  </si>
  <si>
    <t>Proceeds from the sale of the Bonds will be used for the purpose of (i) refund certain outstanding bonds of the Authority, (ii) pay the premium for a Reserve Fund Surety Policy for the Tax-Exempt Bonds, and (iii) pay cost of issuance.</t>
  </si>
  <si>
    <t>Issue:  $9,870,000</t>
  </si>
  <si>
    <t>Dated:  September 1, 2020</t>
  </si>
  <si>
    <t>Issue:  $58,015,000</t>
  </si>
  <si>
    <t>Dated: September 1, 2020</t>
  </si>
  <si>
    <t>Senior Lien Revenue Refunding Bonds, Series 2020B</t>
  </si>
  <si>
    <t>Senior Lien Refunding Bonds, Series 2020B</t>
  </si>
  <si>
    <t xml:space="preserve">Junior Lien Revenue Bond, Taxable Series 2016A </t>
  </si>
  <si>
    <t>Issue:  $151,650,345</t>
  </si>
  <si>
    <t>Dated: February 10, 2022</t>
  </si>
  <si>
    <t>SERIES 2022A</t>
  </si>
  <si>
    <t>Sr Lien Toll and Vehicle Registration Fee Revenue Bonds</t>
  </si>
  <si>
    <t>SERIES 2022B</t>
  </si>
  <si>
    <t>Jr Lien Toll and Vehicle Registration Fee Revenue and  Refunding Bonds</t>
  </si>
  <si>
    <t>Issue:  $63,884,707</t>
  </si>
  <si>
    <t>Series 2022B</t>
  </si>
  <si>
    <t>Series 2022A</t>
  </si>
  <si>
    <t>Jr Lien Rev. Refun. Bonds 2022B</t>
  </si>
  <si>
    <t>Senior Lien Toll Bonds 2022A</t>
  </si>
  <si>
    <t>SR/JR LIEN SERIES 2022</t>
  </si>
  <si>
    <t>SR LIEN SERIES 2020</t>
  </si>
  <si>
    <t>Senior Lien Toll Bonds, Series 2022A</t>
  </si>
  <si>
    <t>JR Lien Rev. Refunding Bonds, Series 2022B</t>
  </si>
  <si>
    <t>Senior Lien Vehicle Registration Fee  Refunding Bonds, Taxable Series 2020B (1)</t>
  </si>
  <si>
    <t>Senior Lien Vehicle Registration Fee  Refunding Bonds, Taxable Series 2020A (1)</t>
  </si>
  <si>
    <t>Proceeds from the sale of the Bonds will be used for the purpose of (i) pay the costs of constructing Segments 1 and 2 of the 365 Toll Project, (ii)capitalized interest, (iii) deposit to reserve fund and (iv) issuance cost.</t>
  </si>
  <si>
    <t>Proceeds from the sale of the Bonds will be used for the purpose of (i)refunding the Authority's outstanding TxDOT SIB Bond, (ii)to pay capitalized interest, (iii) deposit to reserve fund and (iv) issuance cost.</t>
  </si>
  <si>
    <r>
      <t>TOTAL OUTSTANDING REVENUE BONDS                                                     (1)</t>
    </r>
    <r>
      <rPr>
        <b/>
        <sz val="12"/>
        <color theme="0"/>
        <rFont val="Calibri"/>
        <family val="2"/>
        <scheme val="minor"/>
      </rPr>
      <t xml:space="preserve"> Credit Rating:     S&amp;P  AA-</t>
    </r>
  </si>
  <si>
    <t xml:space="preserve">Junior Lien Toll and Vehicle Registration Fee Revenue &amp; Refunding Bonds, Series 2022B </t>
  </si>
  <si>
    <t>Senior Lien Toll and Vehicle Registration Fee Revenue Bonds, Series 2022A</t>
  </si>
  <si>
    <t>Senior Lien Toll and Vehicle Registration Fee Revenue Bonds, Series 2022A (2)</t>
  </si>
  <si>
    <t>Junior Lien Toll and Vehicle Registration Fee Revenue &amp; Refunding Bonds, Series 2022B (3)</t>
  </si>
  <si>
    <t>AS OF December 31, 2024</t>
  </si>
  <si>
    <t>HCRMA Outstanding Bonds FY 2024</t>
  </si>
  <si>
    <t>2030-2034</t>
  </si>
  <si>
    <t>2035-2039</t>
  </si>
  <si>
    <t>2040-2044</t>
  </si>
  <si>
    <t>2045-2049</t>
  </si>
  <si>
    <t>2050-2054</t>
  </si>
  <si>
    <t>2055-2056</t>
  </si>
  <si>
    <t>as of December 31, 2024</t>
  </si>
  <si>
    <t xml:space="preserve">as of December 31, 2024                                                                                                                 </t>
  </si>
  <si>
    <t>Estimated U.S. Census Population as of 07/31/24</t>
  </si>
  <si>
    <t>CPI Multiplier (Inflation Adjustment to 2024 Dollars)</t>
  </si>
  <si>
    <t>N/A</t>
  </si>
  <si>
    <r>
      <t xml:space="preserve">                                                   (2)</t>
    </r>
    <r>
      <rPr>
        <b/>
        <sz val="12"/>
        <color theme="0"/>
        <rFont val="Calibri"/>
        <family val="2"/>
        <scheme val="minor"/>
      </rPr>
      <t xml:space="preserve"> Credit Rating: S&amp;P BBB and Moody's Baa2 </t>
    </r>
  </si>
  <si>
    <r>
      <t xml:space="preserve">                                                   (3)</t>
    </r>
    <r>
      <rPr>
        <b/>
        <sz val="12"/>
        <color theme="0"/>
        <rFont val="Calibri"/>
        <family val="2"/>
        <scheme val="minor"/>
      </rPr>
      <t xml:space="preserve"> Credit Rating: S&amp;P BBB- and Moody's Baa3 </t>
    </r>
  </si>
  <si>
    <t>Note:  On November 22, 2024, S&amp;P Global Ratings upgraded (2) senior lien bonds from BBB- to BBB and (3 the junior lien bonds from BB+ to 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</si>
</sst>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0%"/>
    <numFmt numFmtId="167" formatCode="0_)"/>
    <numFmt numFmtId="168" formatCode="m/d;@"/>
    <numFmt numFmtId="169" formatCode="0.000000000"/>
    <numFmt numFmtId="170" formatCode="_(* #,##0.000000000000_);_(* \(#,##0.000000000000\);_(* &quot;-&quot;??_);_(@_)"/>
    <numFmt numFmtId="171" formatCode="0.0000000%"/>
    <numFmt numFmtId="172" formatCode="0.000000000000000"/>
    <numFmt numFmtId="173" formatCode="_(* #,##0.000000000_);_(* \(#,##0.000000000\);_(* &quot;-&quot;??_);_(@_)"/>
    <numFmt numFmtId="174" formatCode="_(&quot;$&quot;* #,##0.0000000000_);_(&quot;$&quot;* \(#,##0.0000000000\);_(&quot;$&quot;* &quot;-&quot;??_);_(@_)"/>
    <numFmt numFmtId="175" formatCode="0.0000000000"/>
    <numFmt numFmtId="176" formatCode="_(&quot;$&quot;* #,##0.000000000_);_(&quot;$&quot;* \(#,##0.000000000\);_(&quot;$&quot;* &quot;-&quot;??_);_(@_)"/>
    <numFmt numFmtId="177" formatCode="0.00000"/>
    <numFmt numFmtId="178" formatCode="\$#,##0.000000000;[Red]&quot;($&quot;#,##0.000000000\)"/>
  </numFmts>
  <fonts count="36">
    <font>
      <sz val="11"/>
      <color theme="1"/>
      <name val="Calibri"/>
      <family val="2"/>
      <scheme val="minor"/>
    </font>
    <font>
      <sz val="11"/>
      <color theme="1"/>
      <name val="Calibri"/>
      <family val="2"/>
      <scheme val="minor"/>
    </font>
    <font>
      <sz val="11"/>
      <color rgb="FFFF0000"/>
      <name val="Calibri"/>
      <family val="2"/>
      <scheme val="minor"/>
    </font>
    <font>
      <b/>
      <sz val="11"/>
      <color theme="0"/>
      <name val="Arial"/>
      <family val="2"/>
    </font>
    <font>
      <b/>
      <sz val="10"/>
      <color theme="1"/>
      <name val="Arial"/>
      <family val="2"/>
    </font>
    <font>
      <b/>
      <sz val="11"/>
      <color theme="1"/>
      <name val="Arial"/>
      <family val="2"/>
    </font>
    <font>
      <sz val="8"/>
      <color theme="1"/>
      <name val="Calibri"/>
      <family val="2"/>
      <scheme val="minor"/>
    </font>
    <font>
      <b/>
      <i/>
      <sz val="9"/>
      <color theme="1"/>
      <name val="Calibri"/>
      <family val="2"/>
      <scheme val="minor"/>
    </font>
    <font>
      <b/>
      <sz val="10"/>
      <name val="Arial"/>
      <family val="2"/>
    </font>
    <font>
      <b/>
      <sz val="10"/>
      <color theme="0"/>
      <name val="Arial"/>
      <family val="2"/>
    </font>
    <font>
      <sz val="10"/>
      <color theme="1"/>
      <name val="Calibri"/>
      <family val="2"/>
      <scheme val="minor"/>
    </font>
    <font>
      <b/>
      <sz val="14"/>
      <color theme="0"/>
      <name val="Calibri"/>
      <family val="2"/>
      <scheme val="minor"/>
    </font>
    <font>
      <b/>
      <sz val="10"/>
      <color theme="3"/>
      <name val="Calibri"/>
      <family val="2"/>
      <scheme val="minor"/>
    </font>
    <font>
      <sz val="10"/>
      <color theme="3"/>
      <name val="Calibri"/>
      <family val="2"/>
      <scheme val="minor"/>
    </font>
    <font>
      <sz val="10"/>
      <name val="Times New Roman"/>
      <family val="1"/>
    </font>
    <font>
      <sz val="11"/>
      <color theme="1"/>
      <name val="Calibri"/>
      <family val="2"/>
    </font>
    <font>
      <b/>
      <sz val="11"/>
      <name val="Calibri"/>
      <family val="2"/>
    </font>
    <font>
      <sz val="11"/>
      <name val="Calibri"/>
      <family val="2"/>
    </font>
    <font>
      <b/>
      <sz val="11"/>
      <color rgb="FFFF0000"/>
      <name val="Calibri"/>
      <family val="2"/>
    </font>
    <font>
      <b/>
      <sz val="12"/>
      <color theme="0"/>
      <name val="Calibri"/>
      <family val="2"/>
      <scheme val="minor"/>
    </font>
    <font>
      <sz val="11"/>
      <name val="Calibri"/>
      <family val="2"/>
      <scheme val="minor"/>
    </font>
    <font>
      <b/>
      <sz val="11"/>
      <color theme="1"/>
      <name val="Calibri"/>
      <family val="2"/>
      <scheme val="minor"/>
    </font>
    <font>
      <b/>
      <i/>
      <sz val="11"/>
      <color theme="1"/>
      <name val="Calibri"/>
      <family val="2"/>
      <scheme val="minor"/>
    </font>
    <font>
      <sz val="12"/>
      <name val="CG Times"/>
      <family val="1"/>
    </font>
    <font>
      <b/>
      <i/>
      <sz val="10"/>
      <name val="Arial"/>
      <family val="2"/>
    </font>
    <font>
      <i/>
      <sz val="10"/>
      <color theme="1"/>
      <name val="Calibri"/>
      <family val="2"/>
      <scheme val="minor"/>
    </font>
    <font>
      <b/>
      <i/>
      <sz val="10"/>
      <color theme="0"/>
      <name val="Arial"/>
      <family val="2"/>
    </font>
    <font>
      <sz val="10"/>
      <name val="Times New Roman"/>
      <family val="1"/>
    </font>
    <font>
      <sz val="10"/>
      <color rgb="FF0000FF"/>
      <name val="Times New Roman"/>
      <family val="1"/>
    </font>
    <font>
      <b/>
      <i/>
      <sz val="10"/>
      <name val="Times New Roman"/>
      <family val="1"/>
    </font>
    <font>
      <b/>
      <sz val="10"/>
      <color rgb="FF0000FF"/>
      <name val="Times New Roman"/>
      <family val="1"/>
    </font>
    <font>
      <b/>
      <sz val="12"/>
      <name val="Times New Roman"/>
      <family val="1"/>
    </font>
    <font>
      <sz val="11"/>
      <color rgb="FF000000"/>
      <name val="Calibri"/>
      <family val="2"/>
      <scheme val="minor"/>
    </font>
    <font>
      <sz val="10"/>
      <name val="Times New Roman"/>
    </font>
    <font>
      <b/>
      <sz val="10"/>
      <name val="Times New Roman"/>
      <family val="1"/>
    </font>
    <font>
      <sz val="10"/>
      <color rgb="FF0070C0"/>
      <name val="Calibri"/>
      <family val="2"/>
      <scheme val="minor"/>
    </font>
  </fonts>
  <fills count="13">
    <fill>
      <patternFill patternType="none"/>
    </fill>
    <fill>
      <patternFill patternType="gray125"/>
    </fill>
    <fill>
      <patternFill patternType="solid">
        <fgColor theme="4"/>
        <bgColor theme="4" tint="0.79998168889431442"/>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0"/>
        <bgColor theme="4" tint="0.79995117038483843"/>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theme="4" tint="0.79998168889431442"/>
        <bgColor theme="4" tint="0.79995117038483843"/>
      </patternFill>
    </fill>
    <fill>
      <patternFill patternType="solid">
        <fgColor theme="4" tint="0.59999389629810485"/>
        <bgColor indexed="64"/>
      </patternFill>
    </fill>
    <fill>
      <patternFill patternType="solid">
        <fgColor rgb="FFFFFFFF"/>
        <bgColor rgb="FFFFFFFF"/>
      </patternFill>
    </fill>
  </fills>
  <borders count="47">
    <border>
      <left/>
      <right/>
      <top/>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tint="0.59999389629810485"/>
      </right>
      <top style="thin">
        <color theme="3" tint="0.59999389629810485"/>
      </top>
      <bottom/>
      <diagonal/>
    </border>
    <border>
      <left style="thin">
        <color theme="3" tint="0.59999389629810485"/>
      </left>
      <right/>
      <top/>
      <bottom style="thin">
        <color theme="3" tint="0.59999389629810485"/>
      </bottom>
      <diagonal/>
    </border>
    <border>
      <left/>
      <right/>
      <top/>
      <bottom style="thin">
        <color theme="3" tint="0.59999389629810485"/>
      </bottom>
      <diagonal/>
    </border>
    <border>
      <left/>
      <right style="thin">
        <color theme="3" tint="0.59999389629810485"/>
      </right>
      <top/>
      <bottom style="thin">
        <color theme="3" tint="0.59999389629810485"/>
      </bottom>
      <diagonal/>
    </border>
    <border>
      <left style="thin">
        <color theme="4" tint="0.39994506668294322"/>
      </left>
      <right style="thin">
        <color theme="4" tint="0.39994506668294322"/>
      </right>
      <top/>
      <bottom style="thin">
        <color theme="4" tint="0.39994506668294322"/>
      </bottom>
      <diagonal/>
    </border>
    <border>
      <left style="thin">
        <color theme="4" tint="0.39991454817346722"/>
      </left>
      <right style="thin">
        <color theme="4" tint="0.39991454817346722"/>
      </right>
      <top/>
      <bottom style="thin">
        <color theme="4" tint="0.399914548173467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4506668294322"/>
      </left>
      <right style="thin">
        <color theme="4" tint="0.39994506668294322"/>
      </right>
      <top style="thin">
        <color theme="4" tint="0.39994506668294322"/>
      </top>
      <bottom/>
      <diagonal/>
    </border>
    <border>
      <left/>
      <right/>
      <top style="thin">
        <color theme="4" tint="0.39994506668294322"/>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theme="3"/>
      </left>
      <right/>
      <top/>
      <bottom/>
      <diagonal/>
    </border>
    <border>
      <left style="medium">
        <color theme="3"/>
      </left>
      <right/>
      <top/>
      <bottom style="medium">
        <color theme="3"/>
      </bottom>
      <diagonal/>
    </border>
    <border>
      <left/>
      <right/>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top style="thin">
        <color theme="4" tint="0.39991454817346722"/>
      </top>
      <bottom/>
      <diagonal/>
    </border>
    <border>
      <left style="thin">
        <color theme="3" tint="0.59999389629810485"/>
      </left>
      <right/>
      <top/>
      <bottom/>
      <diagonal/>
    </border>
    <border>
      <left style="thin">
        <color theme="4" tint="0.39994506668294322"/>
      </left>
      <right style="thin">
        <color theme="4" tint="0.39994506668294322"/>
      </right>
      <top style="thin">
        <color theme="4" tint="0.3999145481734672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
      <left style="medium">
        <color theme="3"/>
      </left>
      <right style="medium">
        <color theme="3"/>
      </right>
      <top style="medium">
        <color theme="3"/>
      </top>
      <bottom style="thin">
        <color theme="3"/>
      </bottom>
      <diagonal/>
    </border>
    <border>
      <left style="thin">
        <color rgb="FFCCCCFF"/>
      </left>
      <right style="thin">
        <color rgb="FFCCCCFF"/>
      </right>
      <top style="thin">
        <color rgb="FFCCCCFF"/>
      </top>
      <bottom style="thin">
        <color rgb="FFCCCCFF"/>
      </bottom>
      <diagonal/>
    </border>
    <border>
      <left style="medium">
        <color theme="3"/>
      </left>
      <right style="medium">
        <color theme="3"/>
      </right>
      <top/>
      <bottom style="medium">
        <color theme="4"/>
      </bottom>
      <diagonal/>
    </border>
    <border>
      <left style="medium">
        <color theme="3"/>
      </left>
      <right style="medium">
        <color theme="3"/>
      </right>
      <top style="medium">
        <color theme="4"/>
      </top>
      <bottom/>
      <diagonal/>
    </border>
    <border>
      <left style="medium">
        <color theme="3"/>
      </left>
      <right style="medium">
        <color theme="3"/>
      </right>
      <top style="medium">
        <color theme="3"/>
      </top>
      <bottom style="medium">
        <color theme="4"/>
      </bottom>
      <diagonal/>
    </border>
    <border>
      <left style="medium">
        <color theme="3"/>
      </left>
      <right style="medium">
        <color theme="3"/>
      </right>
      <top/>
      <bottom style="thin">
        <color theme="4"/>
      </bottom>
      <diagonal/>
    </border>
    <border>
      <left style="medium">
        <color theme="3"/>
      </left>
      <right style="medium">
        <color theme="3"/>
      </right>
      <top style="thin">
        <color theme="4"/>
      </top>
      <bottom/>
      <diagonal/>
    </border>
  </borders>
  <cellStyleXfs count="17">
    <xf numFmtId="0" fontId="0"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3" fillId="0" borderId="0"/>
    <xf numFmtId="0" fontId="27" fillId="0" borderId="0"/>
    <xf numFmtId="44" fontId="14" fillId="0" borderId="0" applyFont="0" applyFill="0" applyBorder="0" applyAlignment="0" applyProtection="0"/>
    <xf numFmtId="43" fontId="14" fillId="0" borderId="0" applyFont="0" applyFill="0" applyBorder="0" applyAlignment="0" applyProtection="0"/>
    <xf numFmtId="0" fontId="14" fillId="0" borderId="0"/>
    <xf numFmtId="0" fontId="33" fillId="0" borderId="0"/>
    <xf numFmtId="0" fontId="33" fillId="0" borderId="0"/>
    <xf numFmtId="43" fontId="14" fillId="0" borderId="0" applyFont="0" applyFill="0" applyBorder="0" applyAlignment="0" applyProtection="0"/>
    <xf numFmtId="44" fontId="14" fillId="0" borderId="0" applyFont="0" applyFill="0" applyBorder="0" applyAlignment="0" applyProtection="0"/>
  </cellStyleXfs>
  <cellXfs count="238">
    <xf numFmtId="0" fontId="0" fillId="0" borderId="0" xfId="0"/>
    <xf numFmtId="0" fontId="3" fillId="2" borderId="1" xfId="1" applyFont="1" applyFill="1" applyBorder="1" applyAlignment="1">
      <alignment horizontal="centerContinuous"/>
    </xf>
    <xf numFmtId="0" fontId="3" fillId="2" borderId="2" xfId="1" applyFont="1" applyFill="1" applyBorder="1" applyAlignment="1">
      <alignment horizontal="centerContinuous"/>
    </xf>
    <xf numFmtId="0" fontId="3" fillId="2" borderId="3" xfId="1" applyFont="1" applyFill="1" applyBorder="1" applyAlignment="1">
      <alignment horizontal="centerContinuous"/>
    </xf>
    <xf numFmtId="0" fontId="3" fillId="2" borderId="4" xfId="1" applyFont="1" applyFill="1" applyBorder="1" applyAlignment="1">
      <alignment horizontal="centerContinuous"/>
    </xf>
    <xf numFmtId="0" fontId="3" fillId="2" borderId="5" xfId="1" applyFont="1" applyFill="1" applyBorder="1" applyAlignment="1">
      <alignment horizontal="centerContinuous"/>
    </xf>
    <xf numFmtId="0" fontId="3" fillId="2" borderId="6" xfId="1" applyFont="1" applyFill="1" applyBorder="1" applyAlignment="1">
      <alignment horizontal="centerContinuous"/>
    </xf>
    <xf numFmtId="0" fontId="4" fillId="3" borderId="7" xfId="1" applyFont="1" applyFill="1" applyBorder="1" applyAlignment="1">
      <alignment horizontal="center"/>
    </xf>
    <xf numFmtId="0" fontId="4" fillId="3" borderId="8" xfId="1" applyFont="1" applyFill="1" applyBorder="1" applyAlignment="1">
      <alignment horizontal="center"/>
    </xf>
    <xf numFmtId="164" fontId="1" fillId="0" borderId="9" xfId="1" applyNumberFormat="1" applyBorder="1"/>
    <xf numFmtId="0" fontId="3" fillId="2" borderId="0" xfId="1" applyFont="1" applyFill="1" applyAlignment="1">
      <alignment horizontal="centerContinuous"/>
    </xf>
    <xf numFmtId="0" fontId="3" fillId="2" borderId="0" xfId="1" applyFont="1" applyFill="1" applyAlignment="1">
      <alignment horizontal="center"/>
    </xf>
    <xf numFmtId="0" fontId="4" fillId="3" borderId="0" xfId="1" applyFont="1" applyFill="1" applyAlignment="1">
      <alignment horizontal="center"/>
    </xf>
    <xf numFmtId="164" fontId="4" fillId="3" borderId="0" xfId="1" applyNumberFormat="1" applyFont="1" applyFill="1"/>
    <xf numFmtId="0" fontId="0" fillId="4" borderId="0" xfId="0" applyFill="1"/>
    <xf numFmtId="0" fontId="1" fillId="4" borderId="0" xfId="1" applyFill="1"/>
    <xf numFmtId="0" fontId="6" fillId="4" borderId="0" xfId="1" applyFont="1" applyFill="1"/>
    <xf numFmtId="0" fontId="3" fillId="5" borderId="0" xfId="1" applyFont="1" applyFill="1" applyAlignment="1">
      <alignment horizontal="centerContinuous"/>
    </xf>
    <xf numFmtId="0" fontId="4" fillId="5" borderId="0" xfId="1" applyFont="1" applyFill="1" applyAlignment="1">
      <alignment horizontal="center"/>
    </xf>
    <xf numFmtId="164" fontId="1" fillId="4" borderId="0" xfId="1" applyNumberFormat="1" applyFill="1"/>
    <xf numFmtId="165" fontId="4" fillId="5" borderId="0" xfId="2" applyNumberFormat="1" applyFont="1" applyFill="1" applyBorder="1"/>
    <xf numFmtId="0" fontId="2" fillId="4" borderId="0" xfId="1" applyFont="1" applyFill="1"/>
    <xf numFmtId="164" fontId="1" fillId="4" borderId="10" xfId="1" applyNumberFormat="1" applyFill="1" applyBorder="1"/>
    <xf numFmtId="0" fontId="10" fillId="4" borderId="0" xfId="1" applyFont="1" applyFill="1"/>
    <xf numFmtId="0" fontId="0" fillId="4" borderId="13" xfId="0" applyFill="1" applyBorder="1"/>
    <xf numFmtId="0" fontId="0" fillId="4" borderId="14" xfId="0" applyFill="1" applyBorder="1"/>
    <xf numFmtId="0" fontId="1" fillId="0" borderId="9" xfId="1" applyBorder="1" applyAlignment="1">
      <alignment horizontal="center"/>
    </xf>
    <xf numFmtId="0" fontId="13" fillId="4" borderId="26" xfId="0" applyFont="1" applyFill="1" applyBorder="1" applyAlignment="1">
      <alignment horizontal="left" wrapText="1"/>
    </xf>
    <xf numFmtId="3" fontId="12" fillId="7" borderId="24" xfId="0" applyNumberFormat="1" applyFont="1" applyFill="1" applyBorder="1" applyAlignment="1">
      <alignment horizontal="center"/>
    </xf>
    <xf numFmtId="39" fontId="12" fillId="7" borderId="24" xfId="0" applyNumberFormat="1" applyFont="1" applyFill="1" applyBorder="1" applyAlignment="1">
      <alignment horizontal="center"/>
    </xf>
    <xf numFmtId="42" fontId="12" fillId="7" borderId="24" xfId="0" applyNumberFormat="1" applyFont="1" applyFill="1" applyBorder="1" applyAlignment="1">
      <alignment horizontal="center"/>
    </xf>
    <xf numFmtId="0" fontId="13" fillId="4" borderId="26" xfId="0" applyFont="1" applyFill="1" applyBorder="1" applyAlignment="1">
      <alignment horizontal="center" vertical="center" wrapText="1"/>
    </xf>
    <xf numFmtId="0" fontId="0" fillId="4" borderId="26" xfId="0" applyFill="1" applyBorder="1" applyAlignment="1">
      <alignment vertical="center"/>
    </xf>
    <xf numFmtId="0" fontId="13" fillId="4" borderId="0" xfId="0" applyFont="1" applyFill="1" applyAlignment="1">
      <alignment horizontal="right" wrapText="1"/>
    </xf>
    <xf numFmtId="0" fontId="13" fillId="4" borderId="0" xfId="0" applyFont="1" applyFill="1" applyAlignment="1">
      <alignment horizontal="right"/>
    </xf>
    <xf numFmtId="164" fontId="13" fillId="4" borderId="0" xfId="3" applyNumberFormat="1" applyFont="1" applyFill="1"/>
    <xf numFmtId="165" fontId="13" fillId="4" borderId="0" xfId="4" applyNumberFormat="1" applyFont="1" applyFill="1" applyBorder="1"/>
    <xf numFmtId="167" fontId="14" fillId="9" borderId="0" xfId="0" applyNumberFormat="1" applyFont="1" applyFill="1"/>
    <xf numFmtId="166" fontId="14" fillId="9" borderId="0" xfId="5" applyNumberFormat="1" applyFont="1" applyFill="1"/>
    <xf numFmtId="0" fontId="14" fillId="4" borderId="0" xfId="0" applyFont="1" applyFill="1"/>
    <xf numFmtId="43" fontId="14" fillId="9" borderId="13" xfId="3" applyFont="1" applyFill="1" applyBorder="1"/>
    <xf numFmtId="0" fontId="14" fillId="9" borderId="0" xfId="0" applyFont="1" applyFill="1"/>
    <xf numFmtId="43" fontId="14" fillId="9" borderId="0" xfId="3" applyFont="1" applyFill="1" applyBorder="1"/>
    <xf numFmtId="166" fontId="14" fillId="9" borderId="0" xfId="5" applyNumberFormat="1" applyFont="1" applyFill="1" applyBorder="1"/>
    <xf numFmtId="0" fontId="15" fillId="4" borderId="0" xfId="0" applyFont="1" applyFill="1"/>
    <xf numFmtId="0" fontId="18" fillId="4" borderId="0" xfId="0" applyFont="1" applyFill="1"/>
    <xf numFmtId="43" fontId="16" fillId="4" borderId="0" xfId="3" applyFont="1" applyFill="1"/>
    <xf numFmtId="166" fontId="16" fillId="4" borderId="0" xfId="5" applyNumberFormat="1" applyFont="1" applyFill="1"/>
    <xf numFmtId="43" fontId="16" fillId="4" borderId="0" xfId="3" applyFont="1" applyFill="1" applyAlignment="1" applyProtection="1">
      <alignment horizontal="center"/>
    </xf>
    <xf numFmtId="0" fontId="16" fillId="4" borderId="0" xfId="0" applyFont="1" applyFill="1" applyAlignment="1">
      <alignment horizontal="left"/>
    </xf>
    <xf numFmtId="0" fontId="16" fillId="4" borderId="0" xfId="0" applyFont="1" applyFill="1" applyAlignment="1">
      <alignment horizontal="centerContinuous"/>
    </xf>
    <xf numFmtId="43" fontId="16" fillId="4" borderId="13" xfId="3" applyFont="1" applyFill="1" applyBorder="1" applyAlignment="1" applyProtection="1">
      <alignment horizontal="center"/>
    </xf>
    <xf numFmtId="166" fontId="16" fillId="4" borderId="13" xfId="5" applyNumberFormat="1" applyFont="1" applyFill="1" applyBorder="1" applyAlignment="1" applyProtection="1">
      <alignment horizontal="center"/>
    </xf>
    <xf numFmtId="166" fontId="17" fillId="4" borderId="0" xfId="5" applyNumberFormat="1" applyFont="1" applyFill="1" applyBorder="1"/>
    <xf numFmtId="43" fontId="17" fillId="4" borderId="0" xfId="3" applyFont="1" applyFill="1" applyBorder="1"/>
    <xf numFmtId="43" fontId="17" fillId="4" borderId="13" xfId="3" applyFont="1" applyFill="1" applyBorder="1"/>
    <xf numFmtId="0" fontId="17" fillId="4" borderId="0" xfId="0" applyFont="1" applyFill="1"/>
    <xf numFmtId="0" fontId="16" fillId="4" borderId="0" xfId="0" applyFont="1" applyFill="1"/>
    <xf numFmtId="168" fontId="17" fillId="4" borderId="0" xfId="0" quotePrefix="1" applyNumberFormat="1" applyFont="1" applyFill="1" applyAlignment="1">
      <alignment horizontal="left"/>
    </xf>
    <xf numFmtId="165" fontId="17" fillId="4" borderId="0" xfId="4" applyNumberFormat="1" applyFont="1" applyFill="1" applyBorder="1"/>
    <xf numFmtId="0" fontId="17" fillId="4" borderId="15" xfId="0" applyFont="1" applyFill="1" applyBorder="1" applyAlignment="1">
      <alignment horizontal="left"/>
    </xf>
    <xf numFmtId="165" fontId="17" fillId="4" borderId="14" xfId="4" applyNumberFormat="1" applyFont="1" applyFill="1" applyBorder="1"/>
    <xf numFmtId="43" fontId="17" fillId="4" borderId="14" xfId="3" applyFont="1" applyFill="1" applyBorder="1"/>
    <xf numFmtId="43" fontId="17" fillId="4" borderId="18" xfId="3" applyFont="1" applyFill="1" applyBorder="1"/>
    <xf numFmtId="0" fontId="17" fillId="4" borderId="16" xfId="0" applyFont="1" applyFill="1" applyBorder="1" applyAlignment="1">
      <alignment horizontal="left"/>
    </xf>
    <xf numFmtId="43" fontId="17" fillId="4" borderId="19" xfId="3" applyFont="1" applyFill="1" applyBorder="1"/>
    <xf numFmtId="0" fontId="17" fillId="4" borderId="17" xfId="0" applyFont="1" applyFill="1" applyBorder="1" applyAlignment="1">
      <alignment horizontal="left"/>
    </xf>
    <xf numFmtId="0" fontId="17" fillId="4" borderId="13" xfId="0" applyFont="1" applyFill="1" applyBorder="1"/>
    <xf numFmtId="166" fontId="17" fillId="4" borderId="13" xfId="5" applyNumberFormat="1" applyFont="1" applyFill="1" applyBorder="1"/>
    <xf numFmtId="165" fontId="17" fillId="4" borderId="13" xfId="4" applyNumberFormat="1" applyFont="1" applyFill="1" applyBorder="1"/>
    <xf numFmtId="43" fontId="17" fillId="4" borderId="20" xfId="3" applyFont="1" applyFill="1" applyBorder="1"/>
    <xf numFmtId="0" fontId="17" fillId="4" borderId="0" xfId="0" applyFont="1" applyFill="1" applyAlignment="1">
      <alignment horizontal="left"/>
    </xf>
    <xf numFmtId="0" fontId="1" fillId="4" borderId="10" xfId="1" applyFill="1" applyBorder="1" applyAlignment="1">
      <alignment horizontal="center"/>
    </xf>
    <xf numFmtId="0" fontId="0" fillId="4" borderId="9" xfId="1" applyFont="1" applyFill="1" applyBorder="1" applyAlignment="1">
      <alignment horizontal="left"/>
    </xf>
    <xf numFmtId="164" fontId="1" fillId="4" borderId="9" xfId="1" applyNumberFormat="1" applyFill="1" applyBorder="1"/>
    <xf numFmtId="164" fontId="9" fillId="6" borderId="0" xfId="1" applyNumberFormat="1" applyFont="1" applyFill="1"/>
    <xf numFmtId="165" fontId="9" fillId="6" borderId="0" xfId="2" applyNumberFormat="1" applyFont="1" applyFill="1" applyBorder="1" applyAlignment="1"/>
    <xf numFmtId="164" fontId="8" fillId="10" borderId="12" xfId="1" applyNumberFormat="1" applyFont="1" applyFill="1" applyBorder="1"/>
    <xf numFmtId="165" fontId="8" fillId="10" borderId="12" xfId="2" applyNumberFormat="1" applyFont="1" applyFill="1" applyBorder="1" applyAlignment="1"/>
    <xf numFmtId="165" fontId="8" fillId="10" borderId="31" xfId="2" applyNumberFormat="1" applyFont="1" applyFill="1" applyBorder="1" applyAlignment="1"/>
    <xf numFmtId="164" fontId="8" fillId="10" borderId="9" xfId="1" applyNumberFormat="1" applyFont="1" applyFill="1" applyBorder="1"/>
    <xf numFmtId="165" fontId="8" fillId="10" borderId="9" xfId="2" applyNumberFormat="1" applyFont="1" applyFill="1" applyBorder="1"/>
    <xf numFmtId="43" fontId="20" fillId="4" borderId="0" xfId="3" applyFont="1" applyFill="1"/>
    <xf numFmtId="43" fontId="20" fillId="4" borderId="0" xfId="3" applyFont="1" applyFill="1" applyBorder="1"/>
    <xf numFmtId="43" fontId="20" fillId="9" borderId="0" xfId="3" applyFont="1" applyFill="1" applyBorder="1"/>
    <xf numFmtId="166" fontId="20" fillId="9" borderId="0" xfId="5" applyNumberFormat="1" applyFont="1" applyFill="1" applyBorder="1"/>
    <xf numFmtId="0" fontId="20" fillId="4" borderId="0" xfId="0" applyFont="1" applyFill="1"/>
    <xf numFmtId="0" fontId="0" fillId="4" borderId="0" xfId="1" applyFont="1" applyFill="1"/>
    <xf numFmtId="0" fontId="0" fillId="0" borderId="38" xfId="0" applyBorder="1" applyAlignment="1">
      <alignment vertical="center" wrapText="1"/>
    </xf>
    <xf numFmtId="42" fontId="22" fillId="7" borderId="34" xfId="0" applyNumberFormat="1" applyFont="1" applyFill="1" applyBorder="1" applyAlignment="1">
      <alignment vertical="center"/>
    </xf>
    <xf numFmtId="0" fontId="21" fillId="11" borderId="37" xfId="0" applyFont="1" applyFill="1" applyBorder="1" applyAlignment="1">
      <alignment vertical="center" wrapText="1"/>
    </xf>
    <xf numFmtId="164" fontId="8" fillId="7" borderId="34" xfId="3" applyNumberFormat="1" applyFont="1" applyFill="1" applyBorder="1" applyAlignment="1">
      <alignment horizontal="center" vertical="center"/>
    </xf>
    <xf numFmtId="164" fontId="8" fillId="7" borderId="35" xfId="3" applyNumberFormat="1" applyFont="1" applyFill="1" applyBorder="1" applyAlignment="1">
      <alignment horizontal="center" vertical="center"/>
    </xf>
    <xf numFmtId="0" fontId="24" fillId="7" borderId="17" xfId="3" applyNumberFormat="1" applyFont="1" applyFill="1" applyBorder="1" applyAlignment="1">
      <alignment horizontal="center" vertical="center"/>
    </xf>
    <xf numFmtId="3" fontId="24" fillId="7" borderId="20" xfId="3" applyNumberFormat="1" applyFont="1" applyFill="1" applyBorder="1" applyAlignment="1">
      <alignment horizontal="center" vertical="center"/>
    </xf>
    <xf numFmtId="0" fontId="4" fillId="7" borderId="36" xfId="0" applyFont="1" applyFill="1" applyBorder="1" applyAlignment="1">
      <alignment horizontal="center" wrapText="1"/>
    </xf>
    <xf numFmtId="0" fontId="4" fillId="7" borderId="37" xfId="0" applyFont="1" applyFill="1" applyBorder="1" applyAlignment="1">
      <alignment horizontal="center" vertical="center" wrapText="1"/>
    </xf>
    <xf numFmtId="0" fontId="4" fillId="11" borderId="37" xfId="0" applyFont="1" applyFill="1" applyBorder="1" applyAlignment="1">
      <alignment vertical="center"/>
    </xf>
    <xf numFmtId="42" fontId="0" fillId="0" borderId="38" xfId="0" applyNumberFormat="1" applyBorder="1" applyAlignment="1">
      <alignment vertical="center"/>
    </xf>
    <xf numFmtId="0" fontId="26" fillId="8" borderId="37" xfId="0" applyFont="1" applyFill="1" applyBorder="1" applyAlignment="1">
      <alignment vertical="center"/>
    </xf>
    <xf numFmtId="165" fontId="0" fillId="0" borderId="38" xfId="0" applyNumberFormat="1" applyBorder="1" applyAlignment="1">
      <alignment vertical="center"/>
    </xf>
    <xf numFmtId="0" fontId="25" fillId="4" borderId="0" xfId="0" applyFont="1" applyFill="1"/>
    <xf numFmtId="0" fontId="5" fillId="4" borderId="0" xfId="0" applyFont="1" applyFill="1" applyAlignment="1">
      <alignment horizontal="center"/>
    </xf>
    <xf numFmtId="0" fontId="5" fillId="4" borderId="0" xfId="0" applyFont="1" applyFill="1" applyAlignment="1">
      <alignment horizontal="centerContinuous"/>
    </xf>
    <xf numFmtId="39" fontId="12" fillId="7" borderId="40" xfId="0" applyNumberFormat="1" applyFont="1" applyFill="1" applyBorder="1" applyAlignment="1">
      <alignment horizontal="center" wrapText="1"/>
    </xf>
    <xf numFmtId="10" fontId="20" fillId="4" borderId="0" xfId="5" applyNumberFormat="1" applyFont="1" applyFill="1"/>
    <xf numFmtId="41" fontId="1" fillId="4" borderId="10" xfId="1" applyNumberFormat="1" applyFill="1" applyBorder="1"/>
    <xf numFmtId="41" fontId="1" fillId="0" borderId="9" xfId="1" applyNumberFormat="1" applyBorder="1"/>
    <xf numFmtId="42" fontId="4" fillId="3" borderId="0" xfId="2" applyNumberFormat="1" applyFont="1" applyFill="1" applyBorder="1"/>
    <xf numFmtId="0" fontId="0" fillId="4" borderId="0" xfId="0" applyFill="1" applyAlignment="1">
      <alignment horizontal="left" wrapText="1"/>
    </xf>
    <xf numFmtId="0" fontId="0" fillId="4" borderId="0" xfId="0" applyFill="1" applyAlignment="1">
      <alignment horizontal="center"/>
    </xf>
    <xf numFmtId="0" fontId="21" fillId="4" borderId="0" xfId="0" quotePrefix="1" applyFont="1" applyFill="1" applyAlignment="1">
      <alignment horizontal="left"/>
    </xf>
    <xf numFmtId="0" fontId="21" fillId="4" borderId="0" xfId="0" applyFont="1" applyFill="1"/>
    <xf numFmtId="0" fontId="21" fillId="4" borderId="0" xfId="0" applyFont="1" applyFill="1" applyAlignment="1">
      <alignment horizontal="left"/>
    </xf>
    <xf numFmtId="0" fontId="21" fillId="0" borderId="0" xfId="0" applyFont="1" applyAlignment="1">
      <alignment horizontal="center" wrapText="1"/>
    </xf>
    <xf numFmtId="44" fontId="32" fillId="12" borderId="41" xfId="4" applyFont="1" applyFill="1" applyBorder="1" applyAlignment="1">
      <alignment horizontal="center" vertical="top"/>
    </xf>
    <xf numFmtId="3" fontId="32" fillId="12" borderId="41" xfId="0" applyNumberFormat="1" applyFont="1" applyFill="1" applyBorder="1" applyAlignment="1">
      <alignment horizontal="center" vertical="top"/>
    </xf>
    <xf numFmtId="169" fontId="32" fillId="12" borderId="41" xfId="0" applyNumberFormat="1" applyFont="1" applyFill="1" applyBorder="1" applyAlignment="1">
      <alignment horizontal="right" vertical="top"/>
    </xf>
    <xf numFmtId="44" fontId="0" fillId="0" borderId="0" xfId="4" applyFont="1" applyAlignment="1">
      <alignment horizontal="center"/>
    </xf>
    <xf numFmtId="164" fontId="0" fillId="0" borderId="0" xfId="3" applyNumberFormat="1" applyFont="1"/>
    <xf numFmtId="170" fontId="0" fillId="0" borderId="0" xfId="3" applyNumberFormat="1" applyFont="1" applyAlignment="1">
      <alignment horizontal="left"/>
    </xf>
    <xf numFmtId="10" fontId="0" fillId="0" borderId="0" xfId="0" applyNumberFormat="1"/>
    <xf numFmtId="169" fontId="0" fillId="0" borderId="0" xfId="0" applyNumberFormat="1"/>
    <xf numFmtId="0" fontId="32" fillId="12" borderId="41" xfId="0" applyFont="1" applyFill="1" applyBorder="1" applyAlignment="1">
      <alignment horizontal="right" vertical="top"/>
    </xf>
    <xf numFmtId="170" fontId="0" fillId="0" borderId="0" xfId="0" applyNumberFormat="1"/>
    <xf numFmtId="171" fontId="0" fillId="0" borderId="0" xfId="0" applyNumberFormat="1"/>
    <xf numFmtId="172" fontId="0" fillId="0" borderId="0" xfId="0" applyNumberFormat="1"/>
    <xf numFmtId="0" fontId="0" fillId="0" borderId="0" xfId="0" applyAlignment="1">
      <alignment horizontal="center"/>
    </xf>
    <xf numFmtId="0" fontId="0" fillId="0" borderId="0" xfId="0" applyAlignment="1">
      <alignment horizontal="right"/>
    </xf>
    <xf numFmtId="165" fontId="0" fillId="0" borderId="0" xfId="4" applyNumberFormat="1" applyFont="1" applyAlignment="1">
      <alignment horizontal="center"/>
    </xf>
    <xf numFmtId="164" fontId="0" fillId="0" borderId="0" xfId="3" applyNumberFormat="1" applyFont="1" applyAlignment="1">
      <alignment horizontal="center"/>
    </xf>
    <xf numFmtId="173" fontId="0" fillId="0" borderId="0" xfId="3" applyNumberFormat="1" applyFont="1" applyAlignment="1">
      <alignment horizontal="right"/>
    </xf>
    <xf numFmtId="174" fontId="0" fillId="0" borderId="0" xfId="0" applyNumberFormat="1"/>
    <xf numFmtId="175" fontId="0" fillId="0" borderId="0" xfId="0" applyNumberFormat="1"/>
    <xf numFmtId="2" fontId="0" fillId="0" borderId="0" xfId="0" applyNumberFormat="1" applyAlignment="1">
      <alignment horizontal="center"/>
    </xf>
    <xf numFmtId="176" fontId="0" fillId="0" borderId="0" xfId="0" applyNumberFormat="1"/>
    <xf numFmtId="177" fontId="0" fillId="0" borderId="0" xfId="0" applyNumberFormat="1"/>
    <xf numFmtId="178" fontId="0" fillId="0" borderId="0" xfId="0" applyNumberFormat="1"/>
    <xf numFmtId="0" fontId="21" fillId="0" borderId="0" xfId="0" applyFont="1"/>
    <xf numFmtId="42" fontId="0" fillId="0" borderId="0" xfId="0" applyNumberFormat="1"/>
    <xf numFmtId="42" fontId="13" fillId="4" borderId="26" xfId="0" applyNumberFormat="1" applyFont="1" applyFill="1" applyBorder="1" applyAlignment="1">
      <alignment horizontal="center" vertical="center" wrapText="1"/>
    </xf>
    <xf numFmtId="42" fontId="13" fillId="4" borderId="26" xfId="0" applyNumberFormat="1" applyFont="1" applyFill="1" applyBorder="1" applyAlignment="1">
      <alignment vertical="center"/>
    </xf>
    <xf numFmtId="3" fontId="0" fillId="0" borderId="0" xfId="0" applyNumberFormat="1"/>
    <xf numFmtId="41" fontId="0" fillId="0" borderId="0" xfId="0" applyNumberFormat="1"/>
    <xf numFmtId="0" fontId="4" fillId="4" borderId="11" xfId="1" applyFont="1" applyFill="1" applyBorder="1" applyAlignment="1">
      <alignment horizontal="center"/>
    </xf>
    <xf numFmtId="0" fontId="7" fillId="4" borderId="11" xfId="1" applyFont="1" applyFill="1" applyBorder="1" applyAlignment="1">
      <alignment horizontal="center" vertical="center"/>
    </xf>
    <xf numFmtId="0" fontId="4" fillId="4" borderId="33" xfId="1" applyFont="1" applyFill="1" applyBorder="1" applyAlignment="1">
      <alignment horizontal="center"/>
    </xf>
    <xf numFmtId="41" fontId="20" fillId="4" borderId="0" xfId="3" applyNumberFormat="1" applyFont="1" applyFill="1" applyBorder="1"/>
    <xf numFmtId="41" fontId="14" fillId="9" borderId="13" xfId="3" applyNumberFormat="1" applyFont="1" applyFill="1" applyBorder="1"/>
    <xf numFmtId="41" fontId="20" fillId="4" borderId="0" xfId="3" applyNumberFormat="1" applyFont="1" applyFill="1"/>
    <xf numFmtId="41" fontId="14" fillId="9" borderId="0" xfId="3" applyNumberFormat="1" applyFont="1" applyFill="1" applyBorder="1"/>
    <xf numFmtId="164" fontId="14" fillId="0" borderId="0" xfId="11" applyNumberFormat="1" applyFont="1" applyBorder="1" applyAlignment="1" applyProtection="1">
      <protection locked="0"/>
    </xf>
    <xf numFmtId="41" fontId="14" fillId="0" borderId="0" xfId="10" applyNumberFormat="1" applyFont="1" applyAlignment="1"/>
    <xf numFmtId="164" fontId="14" fillId="0" borderId="13" xfId="11" applyNumberFormat="1" applyFont="1" applyBorder="1" applyAlignment="1" applyProtection="1">
      <protection locked="0"/>
    </xf>
    <xf numFmtId="41" fontId="14" fillId="0" borderId="13" xfId="10" applyNumberFormat="1" applyFont="1" applyBorder="1" applyAlignment="1"/>
    <xf numFmtId="165" fontId="14" fillId="0" borderId="39" xfId="10" applyNumberFormat="1" applyFont="1" applyBorder="1" applyAlignment="1"/>
    <xf numFmtId="165" fontId="14" fillId="0" borderId="0" xfId="10" applyNumberFormat="1" applyFont="1" applyBorder="1" applyAlignment="1"/>
    <xf numFmtId="165" fontId="28" fillId="0" borderId="0" xfId="10" applyNumberFormat="1" applyFont="1" applyBorder="1" applyAlignment="1"/>
    <xf numFmtId="0" fontId="0" fillId="4" borderId="9" xfId="1" applyFont="1" applyFill="1" applyBorder="1" applyAlignment="1">
      <alignment horizontal="left" wrapText="1"/>
    </xf>
    <xf numFmtId="0" fontId="0" fillId="4" borderId="42" xfId="0" applyFill="1" applyBorder="1" applyAlignment="1">
      <alignment horizontal="center" vertical="center"/>
    </xf>
    <xf numFmtId="0" fontId="13" fillId="4" borderId="43" xfId="0" applyFont="1" applyFill="1" applyBorder="1" applyAlignment="1">
      <alignment horizontal="left" vertical="center" wrapText="1"/>
    </xf>
    <xf numFmtId="0" fontId="13" fillId="4" borderId="44" xfId="0" quotePrefix="1" applyFont="1" applyFill="1" applyBorder="1" applyAlignment="1">
      <alignment horizontal="center" vertical="center" wrapText="1"/>
    </xf>
    <xf numFmtId="42" fontId="13" fillId="4" borderId="43" xfId="0" applyNumberFormat="1" applyFont="1" applyFill="1" applyBorder="1" applyAlignment="1">
      <alignment horizontal="center" vertical="center" wrapText="1"/>
    </xf>
    <xf numFmtId="42" fontId="13" fillId="4" borderId="43" xfId="0" applyNumberFormat="1" applyFont="1" applyFill="1" applyBorder="1" applyAlignment="1">
      <alignment vertical="center"/>
    </xf>
    <xf numFmtId="0" fontId="8" fillId="7" borderId="14" xfId="3" applyNumberFormat="1" applyFont="1" applyFill="1" applyBorder="1" applyAlignment="1">
      <alignment horizontal="center" vertical="center"/>
    </xf>
    <xf numFmtId="0" fontId="8" fillId="7" borderId="18" xfId="3" applyNumberFormat="1" applyFont="1" applyFill="1" applyBorder="1" applyAlignment="1">
      <alignment horizontal="center" vertical="center"/>
    </xf>
    <xf numFmtId="42" fontId="1" fillId="4" borderId="10" xfId="1" applyNumberFormat="1" applyFill="1" applyBorder="1"/>
    <xf numFmtId="42" fontId="1" fillId="4" borderId="9" xfId="1" applyNumberFormat="1" applyFill="1" applyBorder="1"/>
    <xf numFmtId="42" fontId="20" fillId="4" borderId="0" xfId="3" applyNumberFormat="1" applyFont="1" applyFill="1"/>
    <xf numFmtId="42" fontId="20" fillId="9" borderId="0" xfId="3" applyNumberFormat="1" applyFont="1" applyFill="1" applyBorder="1"/>
    <xf numFmtId="41" fontId="1" fillId="0" borderId="0" xfId="1" applyNumberFormat="1"/>
    <xf numFmtId="0" fontId="14" fillId="0" borderId="0" xfId="13" applyFont="1"/>
    <xf numFmtId="41" fontId="14" fillId="0" borderId="0" xfId="13" applyNumberFormat="1" applyFont="1"/>
    <xf numFmtId="0" fontId="33" fillId="0" borderId="0" xfId="13"/>
    <xf numFmtId="42" fontId="33" fillId="0" borderId="39" xfId="13" applyNumberFormat="1" applyBorder="1"/>
    <xf numFmtId="41" fontId="33" fillId="0" borderId="13" xfId="13" applyNumberFormat="1" applyBorder="1"/>
    <xf numFmtId="41" fontId="33" fillId="0" borderId="0" xfId="13" applyNumberFormat="1"/>
    <xf numFmtId="41" fontId="14" fillId="0" borderId="13" xfId="13" applyNumberFormat="1" applyFont="1" applyBorder="1"/>
    <xf numFmtId="0" fontId="14" fillId="0" borderId="0" xfId="13" applyFont="1" applyAlignment="1">
      <alignment horizontal="center"/>
    </xf>
    <xf numFmtId="41" fontId="14" fillId="0" borderId="0" xfId="10" applyNumberFormat="1" applyFont="1" applyBorder="1" applyAlignment="1"/>
    <xf numFmtId="164" fontId="14" fillId="0" borderId="0" xfId="13" applyNumberFormat="1" applyFont="1"/>
    <xf numFmtId="0" fontId="29" fillId="0" borderId="0" xfId="13" applyFont="1" applyAlignment="1">
      <alignment horizontal="center"/>
    </xf>
    <xf numFmtId="0" fontId="14" fillId="0" borderId="13" xfId="13" applyFont="1" applyBorder="1" applyAlignment="1">
      <alignment horizontal="centerContinuous"/>
    </xf>
    <xf numFmtId="0" fontId="33" fillId="0" borderId="13" xfId="13" applyBorder="1" applyAlignment="1">
      <alignment horizontal="centerContinuous"/>
    </xf>
    <xf numFmtId="0" fontId="33" fillId="0" borderId="0" xfId="13" applyAlignment="1">
      <alignment horizontal="centerContinuous"/>
    </xf>
    <xf numFmtId="41" fontId="14" fillId="0" borderId="13" xfId="11" applyNumberFormat="1" applyFont="1" applyBorder="1" applyAlignment="1" applyProtection="1">
      <protection locked="0"/>
    </xf>
    <xf numFmtId="41" fontId="14" fillId="0" borderId="0" xfId="11" applyNumberFormat="1" applyFont="1" applyBorder="1" applyAlignment="1" applyProtection="1">
      <protection locked="0"/>
    </xf>
    <xf numFmtId="0" fontId="34" fillId="0" borderId="0" xfId="13" applyFont="1" applyAlignment="1">
      <alignment horizontal="center"/>
    </xf>
    <xf numFmtId="0" fontId="28" fillId="0" borderId="0" xfId="13" applyFont="1"/>
    <xf numFmtId="0" fontId="30" fillId="0" borderId="0" xfId="13" applyFont="1" applyAlignment="1">
      <alignment horizontal="centerContinuous"/>
    </xf>
    <xf numFmtId="6" fontId="30" fillId="0" borderId="0" xfId="13" applyNumberFormat="1" applyFont="1" applyAlignment="1">
      <alignment horizontal="centerContinuous"/>
    </xf>
    <xf numFmtId="0" fontId="30" fillId="0" borderId="0" xfId="13" applyFont="1" applyAlignment="1">
      <alignment horizontal="center"/>
    </xf>
    <xf numFmtId="0" fontId="30" fillId="0" borderId="0" xfId="13" applyFont="1"/>
    <xf numFmtId="0" fontId="31" fillId="0" borderId="0" xfId="13" applyFont="1" applyAlignment="1">
      <alignment horizontal="center"/>
    </xf>
    <xf numFmtId="0" fontId="31" fillId="0" borderId="0" xfId="13" applyFont="1" applyAlignment="1">
      <alignment horizontal="centerContinuous"/>
    </xf>
    <xf numFmtId="0" fontId="14" fillId="0" borderId="0" xfId="13" applyFont="1" applyAlignment="1">
      <alignment horizontal="centerContinuous"/>
    </xf>
    <xf numFmtId="0" fontId="1" fillId="4" borderId="0" xfId="1" applyFill="1" applyAlignment="1">
      <alignment horizontal="center"/>
    </xf>
    <xf numFmtId="41" fontId="0" fillId="0" borderId="9" xfId="1" applyNumberFormat="1" applyFont="1" applyBorder="1"/>
    <xf numFmtId="0" fontId="0" fillId="4" borderId="0" xfId="0" applyFill="1" applyAlignment="1">
      <alignment vertical="center"/>
    </xf>
    <xf numFmtId="0" fontId="35" fillId="4" borderId="45" xfId="0" applyFont="1" applyFill="1" applyBorder="1" applyAlignment="1">
      <alignment horizontal="center" vertical="center" wrapText="1"/>
    </xf>
    <xf numFmtId="0" fontId="13" fillId="4" borderId="45" xfId="0" applyFont="1" applyFill="1" applyBorder="1" applyAlignment="1">
      <alignment horizontal="left" wrapText="1"/>
    </xf>
    <xf numFmtId="0" fontId="13" fillId="4" borderId="46" xfId="0" applyFont="1" applyFill="1" applyBorder="1" applyAlignment="1">
      <alignment horizontal="center" vertical="center" wrapText="1"/>
    </xf>
    <xf numFmtId="42" fontId="14" fillId="0" borderId="0" xfId="11" applyNumberFormat="1" applyFont="1" applyBorder="1" applyAlignment="1" applyProtection="1">
      <protection locked="0"/>
    </xf>
    <xf numFmtId="42" fontId="20" fillId="4" borderId="0" xfId="3" applyNumberFormat="1" applyFont="1" applyFill="1" applyBorder="1"/>
    <xf numFmtId="42" fontId="14" fillId="0" borderId="0" xfId="13" applyNumberFormat="1" applyFont="1"/>
    <xf numFmtId="0" fontId="31" fillId="0" borderId="13" xfId="13" applyFont="1" applyBorder="1" applyAlignment="1">
      <alignment horizontal="centerContinuous"/>
    </xf>
    <xf numFmtId="42" fontId="1" fillId="0" borderId="9" xfId="1" applyNumberFormat="1" applyBorder="1"/>
    <xf numFmtId="165" fontId="20" fillId="0" borderId="38" xfId="0" applyNumberFormat="1" applyFont="1" applyBorder="1" applyAlignment="1">
      <alignment vertical="center"/>
    </xf>
    <xf numFmtId="42" fontId="1" fillId="4" borderId="0" xfId="1" applyNumberFormat="1" applyFill="1"/>
    <xf numFmtId="42" fontId="14" fillId="0" borderId="0" xfId="10" applyNumberFormat="1" applyFont="1" applyAlignment="1"/>
    <xf numFmtId="42" fontId="33" fillId="0" borderId="0" xfId="13" applyNumberFormat="1"/>
    <xf numFmtId="0" fontId="3" fillId="2" borderId="0" xfId="1" applyFont="1" applyFill="1" applyAlignment="1">
      <alignment horizontal="center"/>
    </xf>
    <xf numFmtId="164" fontId="3" fillId="8" borderId="16" xfId="3" applyNumberFormat="1" applyFont="1" applyFill="1" applyBorder="1" applyAlignment="1">
      <alignment horizontal="center" vertical="center"/>
    </xf>
    <xf numFmtId="164" fontId="3" fillId="8" borderId="0" xfId="3" applyNumberFormat="1" applyFont="1" applyFill="1" applyBorder="1" applyAlignment="1">
      <alignment horizontal="center" vertical="center"/>
    </xf>
    <xf numFmtId="164" fontId="3" fillId="8" borderId="17" xfId="3" applyNumberFormat="1" applyFont="1" applyFill="1" applyBorder="1" applyAlignment="1">
      <alignment horizontal="center" vertical="center"/>
    </xf>
    <xf numFmtId="164" fontId="3" fillId="8" borderId="13" xfId="3" applyNumberFormat="1" applyFont="1" applyFill="1" applyBorder="1" applyAlignment="1">
      <alignment horizontal="center" vertical="center"/>
    </xf>
    <xf numFmtId="0" fontId="8" fillId="7" borderId="14" xfId="3" applyNumberFormat="1" applyFont="1" applyFill="1" applyBorder="1" applyAlignment="1">
      <alignment horizontal="center" vertical="center"/>
    </xf>
    <xf numFmtId="0" fontId="8" fillId="7" borderId="18" xfId="3" applyNumberFormat="1" applyFont="1" applyFill="1" applyBorder="1" applyAlignment="1">
      <alignment horizontal="center" vertical="center"/>
    </xf>
    <xf numFmtId="0" fontId="29" fillId="0" borderId="0" xfId="13" applyFont="1"/>
    <xf numFmtId="6" fontId="30" fillId="0" borderId="0" xfId="13" applyNumberFormat="1" applyFont="1" applyAlignment="1">
      <alignment horizontal="center"/>
    </xf>
    <xf numFmtId="0" fontId="30" fillId="0" borderId="0" xfId="13" applyFont="1" applyAlignment="1">
      <alignment horizontal="center"/>
    </xf>
    <xf numFmtId="0" fontId="3" fillId="2" borderId="32" xfId="1" applyFont="1" applyFill="1" applyBorder="1" applyAlignment="1">
      <alignment horizontal="center"/>
    </xf>
    <xf numFmtId="0" fontId="16" fillId="4" borderId="0" xfId="0" applyFont="1" applyFill="1" applyAlignment="1">
      <alignment horizontal="center"/>
    </xf>
    <xf numFmtId="0" fontId="16" fillId="4" borderId="13" xfId="0" applyFont="1" applyFill="1" applyBorder="1" applyAlignment="1">
      <alignment horizontal="center"/>
    </xf>
    <xf numFmtId="0" fontId="11" fillId="8" borderId="21" xfId="0" applyFont="1" applyFill="1" applyBorder="1" applyAlignment="1">
      <alignment horizontal="right" vertical="center" wrapText="1"/>
    </xf>
    <xf numFmtId="0" fontId="11" fillId="8" borderId="0" xfId="0" applyFont="1" applyFill="1" applyAlignment="1">
      <alignment horizontal="right" vertical="center" wrapText="1"/>
    </xf>
    <xf numFmtId="0" fontId="11" fillId="8" borderId="22"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2" fillId="7" borderId="25" xfId="0" applyFont="1" applyFill="1" applyBorder="1" applyAlignment="1">
      <alignment horizontal="center"/>
    </xf>
    <xf numFmtId="0" fontId="12" fillId="7" borderId="27" xfId="0" applyFont="1" applyFill="1" applyBorder="1" applyAlignment="1">
      <alignment horizontal="center"/>
    </xf>
    <xf numFmtId="0" fontId="12" fillId="7" borderId="25" xfId="0" applyFont="1" applyFill="1" applyBorder="1" applyAlignment="1">
      <alignment horizontal="center" wrapText="1"/>
    </xf>
    <xf numFmtId="0" fontId="12" fillId="7" borderId="27" xfId="0" applyFont="1" applyFill="1" applyBorder="1" applyAlignment="1">
      <alignment horizontal="center" wrapText="1"/>
    </xf>
    <xf numFmtId="3" fontId="12" fillId="7" borderId="25" xfId="0" applyNumberFormat="1" applyFont="1" applyFill="1" applyBorder="1" applyAlignment="1">
      <alignment horizontal="center"/>
    </xf>
    <xf numFmtId="3" fontId="12" fillId="7" borderId="27" xfId="0" applyNumberFormat="1" applyFont="1" applyFill="1" applyBorder="1" applyAlignment="1">
      <alignment horizontal="center"/>
    </xf>
    <xf numFmtId="3" fontId="12" fillId="7" borderId="28" xfId="0" applyNumberFormat="1" applyFont="1" applyFill="1" applyBorder="1" applyAlignment="1">
      <alignment horizontal="center"/>
    </xf>
    <xf numFmtId="3" fontId="12" fillId="7" borderId="29" xfId="0" applyNumberFormat="1" applyFont="1" applyFill="1" applyBorder="1" applyAlignment="1">
      <alignment horizontal="center"/>
    </xf>
    <xf numFmtId="3" fontId="12" fillId="7" borderId="30" xfId="0" applyNumberFormat="1" applyFont="1" applyFill="1" applyBorder="1" applyAlignment="1">
      <alignment horizontal="center"/>
    </xf>
    <xf numFmtId="0" fontId="0" fillId="0" borderId="0" xfId="0" applyAlignment="1">
      <alignment horizontal="left" wrapText="1"/>
    </xf>
  </cellXfs>
  <cellStyles count="17">
    <cellStyle name="Comma" xfId="3" builtinId="3"/>
    <cellStyle name="Comma 2" xfId="6" xr:uid="{00000000-0005-0000-0000-000001000000}"/>
    <cellStyle name="Comma 2 2" xfId="15" xr:uid="{F867FB09-F714-4998-983A-E0D1E82E022D}"/>
    <cellStyle name="Comma 3" xfId="11" xr:uid="{12A9DCAE-C08A-4556-A17B-B208FCF23CDB}"/>
    <cellStyle name="Currency" xfId="4" builtinId="4"/>
    <cellStyle name="Currency 2" xfId="7" xr:uid="{00000000-0005-0000-0000-000003000000}"/>
    <cellStyle name="Currency 2 2" xfId="16" xr:uid="{FC0A594B-3BA0-4D5E-A112-541D4B91F833}"/>
    <cellStyle name="Currency 3" xfId="10" xr:uid="{AC2B8002-4633-484A-BC69-E4FEB317EAD4}"/>
    <cellStyle name="Currency 4" xfId="2" xr:uid="{00000000-0005-0000-0000-000004000000}"/>
    <cellStyle name="Normal" xfId="0" builtinId="0"/>
    <cellStyle name="Normal 2" xfId="8" xr:uid="{00000000-0005-0000-0000-000006000000}"/>
    <cellStyle name="Normal 2 2" xfId="14" xr:uid="{F436EC1B-44C4-4A2C-80E2-0E816BF4612F}"/>
    <cellStyle name="Normal 3" xfId="9" xr:uid="{11968156-8419-4BFD-BCEB-F2C54C8C9FCB}"/>
    <cellStyle name="Normal 4" xfId="12" xr:uid="{F5F0A87C-FE0D-49E3-A4C8-21EEC30AF713}"/>
    <cellStyle name="Normal 5" xfId="1" xr:uid="{00000000-0005-0000-0000-000007000000}"/>
    <cellStyle name="Normal 6" xfId="13" xr:uid="{CBD12F9C-B02E-43AE-9DED-2C0889BA679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en-US" sz="1400"/>
              <a:t>Hidalgo</a:t>
            </a:r>
            <a:r>
              <a:rPr lang="en-US" sz="1400" baseline="0"/>
              <a:t> County Regional Mobility </a:t>
            </a:r>
            <a:r>
              <a:rPr lang="en-US" sz="1400"/>
              <a:t>Revenue Bonds - Total Outstanding 2025-2056 </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0917558034067333"/>
          <c:y val="0.18574705280484011"/>
          <c:w val="0.84633155849388797"/>
          <c:h val="0.55196405534054005"/>
        </c:manualLayout>
      </c:layout>
      <c:barChart>
        <c:barDir val="col"/>
        <c:grouping val="stacked"/>
        <c:varyColors val="0"/>
        <c:ser>
          <c:idx val="1"/>
          <c:order val="0"/>
          <c:tx>
            <c:v>Principal</c:v>
          </c:tx>
          <c:spPr>
            <a:solidFill>
              <a:schemeClr val="tx2">
                <a:lumMod val="60000"/>
                <a:lumOff val="40000"/>
              </a:schemeClr>
            </a:solidFill>
            <a:ln>
              <a:noFill/>
            </a:ln>
            <a:effectLst/>
          </c:spPr>
          <c:invertIfNegative val="0"/>
          <c:dLbls>
            <c:dLbl>
              <c:idx val="10"/>
              <c:layout>
                <c:manualLayout>
                  <c:x val="0"/>
                  <c:y val="1.640763941890022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CC-48DC-A099-7C86793B915C}"/>
                </c:ext>
              </c:extLst>
            </c:dLbl>
            <c:dLbl>
              <c:idx val="11"/>
              <c:layout>
                <c:manualLayout>
                  <c:x val="0"/>
                  <c:y val="1.08944527062835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E6-4A32-87F8-D292CCC8D1E6}"/>
                </c:ext>
              </c:extLst>
            </c:dLbl>
            <c:dLbl>
              <c:idx val="12"/>
              <c:layout>
                <c:manualLayout>
                  <c:x val="0"/>
                  <c:y val="6.7491189482400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E6-4A32-87F8-D292CCC8D1E6}"/>
                </c:ext>
              </c:extLst>
            </c:dLbl>
            <c:dLbl>
              <c:idx val="14"/>
              <c:layout>
                <c:manualLayout>
                  <c:x val="0"/>
                  <c:y val="6.044049688595027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CC-48DC-A099-7C86793B915C}"/>
                </c:ext>
              </c:extLst>
            </c:dLbl>
            <c:numFmt formatCode="&quot;$&quot;#,##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'Rev Debt'!$L$4:$L$36</c:f>
              <c:numCache>
                <c:formatCode>General</c:formatCode>
                <c:ptCount val="33"/>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numCache>
            </c:numRef>
          </c:cat>
          <c:val>
            <c:numRef>
              <c:f>'Rev Debt'!$M$4:$M$36</c:f>
              <c:numCache>
                <c:formatCode>_("$"* #,##0_);_("$"* \(#,##0\);_("$"* "-"_);_(@_)</c:formatCode>
                <c:ptCount val="33"/>
                <c:pt idx="1">
                  <c:v>2345000</c:v>
                </c:pt>
                <c:pt idx="2" formatCode="_(* #,##0_);_(* \(#,##0\);_(* &quot;-&quot;_);_(@_)">
                  <c:v>2365000</c:v>
                </c:pt>
                <c:pt idx="3" formatCode="_(* #,##0_);_(* \(#,##0\);_(* &quot;-&quot;_);_(@_)">
                  <c:v>2400000</c:v>
                </c:pt>
                <c:pt idx="4" formatCode="_(* #,##0_);_(* \(#,##0\);_(* &quot;-&quot;_);_(@_)">
                  <c:v>3475000</c:v>
                </c:pt>
                <c:pt idx="5" formatCode="_(* #,##0_);_(* \(#,##0\);_(* &quot;-&quot;_);_(@_)">
                  <c:v>4550000</c:v>
                </c:pt>
                <c:pt idx="6" formatCode="_(* #,##0_);_(* \(#,##0\);_(* &quot;-&quot;_);_(@_)">
                  <c:v>6080000</c:v>
                </c:pt>
                <c:pt idx="7" formatCode="_(* #,##0_);_(* \(#,##0\);_(* &quot;-&quot;_);_(@_)">
                  <c:v>7480000</c:v>
                </c:pt>
                <c:pt idx="8" formatCode="_(* #,##0_);_(* \(#,##0\);_(* &quot;-&quot;_);_(@_)">
                  <c:v>8270000</c:v>
                </c:pt>
                <c:pt idx="9" formatCode="_(* #,##0_);_(* \(#,##0\);_(* &quot;-&quot;_);_(@_)">
                  <c:v>9055000</c:v>
                </c:pt>
                <c:pt idx="10" formatCode="_(* #,##0_);_(* \(#,##0\);_(* &quot;-&quot;_);_(@_)">
                  <c:v>9880000</c:v>
                </c:pt>
                <c:pt idx="11" formatCode="_(* #,##0_);_(* \(#,##0\);_(* &quot;-&quot;_);_(@_)">
                  <c:v>10895000</c:v>
                </c:pt>
                <c:pt idx="12" formatCode="_(* #,##0_);_(* \(#,##0\);_(* &quot;-&quot;_);_(@_)">
                  <c:v>11835000</c:v>
                </c:pt>
                <c:pt idx="13" formatCode="_(* #,##0_);_(* \(#,##0\);_(* &quot;-&quot;_);_(@_)">
                  <c:v>12805000</c:v>
                </c:pt>
                <c:pt idx="14" formatCode="_(* #,##0_);_(* \(#,##0\);_(* &quot;-&quot;_);_(@_)">
                  <c:v>13955000</c:v>
                </c:pt>
                <c:pt idx="15" formatCode="_(* #,##0_);_(* \(#,##0\);_(* &quot;-&quot;_);_(@_)">
                  <c:v>14960000</c:v>
                </c:pt>
                <c:pt idx="16" formatCode="_(* #,##0_);_(* \(#,##0\);_(* &quot;-&quot;_);_(@_)">
                  <c:v>16030000</c:v>
                </c:pt>
                <c:pt idx="17" formatCode="_(* #,##0_);_(* \(#,##0\);_(* &quot;-&quot;_);_(@_)">
                  <c:v>17385000</c:v>
                </c:pt>
                <c:pt idx="18" formatCode="_(* #,##0_);_(* \(#,##0\);_(* &quot;-&quot;_);_(@_)">
                  <c:v>10583969</c:v>
                </c:pt>
                <c:pt idx="19" formatCode="_(* #,##0_);_(* \(#,##0\);_(* &quot;-&quot;_);_(@_)">
                  <c:v>10602665</c:v>
                </c:pt>
                <c:pt idx="20" formatCode="_(* #,##0_);_(* \(#,##0\);_(* &quot;-&quot;_);_(@_)">
                  <c:v>8964858</c:v>
                </c:pt>
                <c:pt idx="21" formatCode="_(* #,##0_);_(* \(#,##0\);_(* &quot;-&quot;_);_(@_)">
                  <c:v>8865409</c:v>
                </c:pt>
                <c:pt idx="22" formatCode="_(* #,##0_);_(* \(#,##0\);_(* &quot;-&quot;_);_(@_)">
                  <c:v>8756327</c:v>
                </c:pt>
                <c:pt idx="23" formatCode="_(* #,##0_);_(* \(#,##0\);_(* &quot;-&quot;_);_(@_)">
                  <c:v>8793776</c:v>
                </c:pt>
                <c:pt idx="24" formatCode="_(* #,##0_);_(* \(#,##0\);_(* &quot;-&quot;_);_(@_)">
                  <c:v>8738234</c:v>
                </c:pt>
                <c:pt idx="25" formatCode="_(* #,##0_);_(* \(#,##0\);_(* &quot;-&quot;_);_(@_)">
                  <c:v>8697930</c:v>
                </c:pt>
                <c:pt idx="26" formatCode="_(* #,##0_);_(* \(#,##0\);_(* &quot;-&quot;_);_(@_)">
                  <c:v>8729680</c:v>
                </c:pt>
                <c:pt idx="27" formatCode="_(* #,##0_);_(* \(#,##0\);_(* &quot;-&quot;_);_(@_)">
                  <c:v>7331985</c:v>
                </c:pt>
                <c:pt idx="28" formatCode="_(* #,##0_);_(* \(#,##0\);_(* &quot;-&quot;_);_(@_)">
                  <c:v>7185315</c:v>
                </c:pt>
                <c:pt idx="29" formatCode="_(* #,##0_);_(* \(#,##0\);_(* &quot;-&quot;_);_(@_)">
                  <c:v>7109446</c:v>
                </c:pt>
                <c:pt idx="30" formatCode="_(* #,##0_);_(* \(#,##0\);_(* &quot;-&quot;_);_(@_)">
                  <c:v>6977333</c:v>
                </c:pt>
                <c:pt idx="31" formatCode="_(* #,##0_);_(* \(#,##0\);_(* &quot;-&quot;_);_(@_)">
                  <c:v>6837360</c:v>
                </c:pt>
                <c:pt idx="32" formatCode="_(* #,##0_);_(* \(#,##0\);_(* &quot;-&quot;_);_(@_)">
                  <c:v>6725765</c:v>
                </c:pt>
              </c:numCache>
            </c:numRef>
          </c:val>
          <c:extLst>
            <c:ext xmlns:c16="http://schemas.microsoft.com/office/drawing/2014/chart" uri="{C3380CC4-5D6E-409C-BE32-E72D297353CC}">
              <c16:uniqueId val="{00000004-36E6-4A32-87F8-D292CCC8D1E6}"/>
            </c:ext>
          </c:extLst>
        </c:ser>
        <c:ser>
          <c:idx val="2"/>
          <c:order val="1"/>
          <c:tx>
            <c:v>Interest</c:v>
          </c:tx>
          <c:spPr>
            <a:solidFill>
              <a:srgbClr val="92D050"/>
            </a:solidFill>
            <a:ln>
              <a:noFill/>
            </a:ln>
            <a:effectLst/>
          </c:spPr>
          <c:invertIfNegative val="0"/>
          <c:dLbls>
            <c:dLbl>
              <c:idx val="13"/>
              <c:layout>
                <c:manualLayout>
                  <c:x val="-1.4306151645207439E-3"/>
                  <c:y val="-1.05613542493234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CC-48DC-A099-7C86793B915C}"/>
                </c:ext>
              </c:extLst>
            </c:dLbl>
            <c:dLbl>
              <c:idx val="14"/>
              <c:layout>
                <c:manualLayout>
                  <c:x val="-1.1176821781397497E-3"/>
                  <c:y val="-1.7800836910890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E6-4A32-87F8-D292CCC8D1E6}"/>
                </c:ext>
              </c:extLst>
            </c:dLbl>
            <c:dLbl>
              <c:idx val="15"/>
              <c:layout>
                <c:manualLayout>
                  <c:x val="-1.0491056679570123E-16"/>
                  <c:y val="-2.1822349725664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6E6-4A32-87F8-D292CCC8D1E6}"/>
                </c:ext>
              </c:extLst>
            </c:dLbl>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6350" cap="flat" cmpd="sng" algn="ctr">
                      <a:solidFill>
                        <a:schemeClr val="tx1"/>
                      </a:solidFill>
                      <a:prstDash val="solid"/>
                      <a:round/>
                    </a:ln>
                    <a:effectLst/>
                  </c:spPr>
                </c15:leaderLines>
              </c:ext>
            </c:extLst>
          </c:dLbls>
          <c:cat>
            <c:numRef>
              <c:f>'Rev Debt'!$L$4:$L$36</c:f>
              <c:numCache>
                <c:formatCode>General</c:formatCode>
                <c:ptCount val="33"/>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numCache>
            </c:numRef>
          </c:cat>
          <c:val>
            <c:numRef>
              <c:f>'Rev Debt'!$P$4:$P$36</c:f>
              <c:numCache>
                <c:formatCode>_("$"* #,##0_);_("$"* \(#,##0\);_("$"* "-"_);_(@_)</c:formatCode>
                <c:ptCount val="33"/>
                <c:pt idx="1">
                  <c:v>6400154</c:v>
                </c:pt>
                <c:pt idx="2" formatCode="_(* #,##0_);_(* \(#,##0\);_(* &quot;-&quot;_);_(@_)">
                  <c:v>6375204</c:v>
                </c:pt>
                <c:pt idx="3" formatCode="_(* #,##0_);_(* \(#,##0\);_(* &quot;-&quot;_);_(@_)">
                  <c:v>6342945</c:v>
                </c:pt>
                <c:pt idx="4" formatCode="_(* #,##0_);_(* \(#,##0\);_(* &quot;-&quot;_);_(@_)">
                  <c:v>6307809</c:v>
                </c:pt>
                <c:pt idx="5" formatCode="_(* #,##0_);_(* \(#,##0\);_(* &quot;-&quot;_);_(@_)">
                  <c:v>6214852</c:v>
                </c:pt>
                <c:pt idx="6" formatCode="_(* #,##0_);_(* \(#,##0\);_(* &quot;-&quot;_);_(@_)">
                  <c:v>6066998</c:v>
                </c:pt>
                <c:pt idx="7" formatCode="_(* #,##0_);_(* \(#,##0\);_(* &quot;-&quot;_);_(@_)">
                  <c:v>5841571</c:v>
                </c:pt>
                <c:pt idx="8" formatCode="_(* #,##0_);_(* \(#,##0\);_(* &quot;-&quot;_);_(@_)">
                  <c:v>5545134</c:v>
                </c:pt>
                <c:pt idx="9" formatCode="_(* #,##0_);_(* \(#,##0\);_(* &quot;-&quot;_);_(@_)">
                  <c:v>5208232</c:v>
                </c:pt>
                <c:pt idx="10" formatCode="_(* #,##0_);_(* \(#,##0\);_(* &quot;-&quot;_);_(@_)">
                  <c:v>4832057</c:v>
                </c:pt>
                <c:pt idx="11" formatCode="_(* #,##0_);_(* \(#,##0\);_(* &quot;-&quot;_);_(@_)">
                  <c:v>4413624</c:v>
                </c:pt>
                <c:pt idx="12" formatCode="_(* #,##0_);_(* \(#,##0\);_(* &quot;-&quot;_);_(@_)">
                  <c:v>3943724</c:v>
                </c:pt>
                <c:pt idx="13" formatCode="_(* #,##0_);_(* \(#,##0\);_(* &quot;-&quot;_);_(@_)">
                  <c:v>3411586</c:v>
                </c:pt>
                <c:pt idx="14" formatCode="_(* #,##0_);_(* \(#,##0\);_(* &quot;-&quot;_);_(@_)">
                  <c:v>2931373</c:v>
                </c:pt>
                <c:pt idx="15" formatCode="_(* #,##0_);_(* \(#,##0\);_(* &quot;-&quot;_);_(@_)">
                  <c:v>2406085</c:v>
                </c:pt>
                <c:pt idx="16" formatCode="_(* #,##0_);_(* \(#,##0\);_(* &quot;-&quot;_);_(@_)">
                  <c:v>1841576</c:v>
                </c:pt>
                <c:pt idx="17" formatCode="_(* #,##0_);_(* \(#,##0\);_(* &quot;-&quot;_);_(@_)">
                  <c:v>1235247</c:v>
                </c:pt>
                <c:pt idx="18" formatCode="_(* #,##0_);_(* \(#,##0\);_(* &quot;-&quot;_);_(@_)">
                  <c:v>8604803</c:v>
                </c:pt>
                <c:pt idx="19" formatCode="_(* #,##0_);_(* \(#,##0\);_(* &quot;-&quot;_);_(@_)">
                  <c:v>9165206</c:v>
                </c:pt>
                <c:pt idx="20" formatCode="_(* #,##0_);_(* \(#,##0\);_(* &quot;-&quot;_);_(@_)">
                  <c:v>10734142</c:v>
                </c:pt>
                <c:pt idx="21" formatCode="_(* #,##0_);_(* \(#,##0\);_(* &quot;-&quot;_);_(@_)">
                  <c:v>11440491</c:v>
                </c:pt>
                <c:pt idx="22" formatCode="_(* #,##0_);_(* \(#,##0\);_(* &quot;-&quot;_);_(@_)">
                  <c:v>12080273</c:v>
                </c:pt>
                <c:pt idx="23" formatCode="_(* #,##0_);_(* \(#,##0\);_(* &quot;-&quot;_);_(@_)">
                  <c:v>12849024</c:v>
                </c:pt>
                <c:pt idx="24" formatCode="_(* #,##0_);_(* \(#,##0\);_(* &quot;-&quot;_);_(@_)">
                  <c:v>13483566</c:v>
                </c:pt>
                <c:pt idx="25" formatCode="_(* #,##0_);_(* \(#,##0\);_(* &quot;-&quot;_);_(@_)">
                  <c:v>14155670</c:v>
                </c:pt>
                <c:pt idx="26" formatCode="_(* #,##0_);_(* \(#,##0\);_(* &quot;-&quot;_);_(@_)">
                  <c:v>15003320</c:v>
                </c:pt>
                <c:pt idx="27" formatCode="_(* #,##0_);_(* \(#,##0\);_(* &quot;-&quot;_);_(@_)">
                  <c:v>16343016</c:v>
                </c:pt>
                <c:pt idx="28" formatCode="_(* #,##0_);_(* \(#,##0\);_(* &quot;-&quot;_);_(@_)">
                  <c:v>17159685</c:v>
                </c:pt>
                <c:pt idx="29" formatCode="_(* #,##0_);_(* \(#,##0\);_(* &quot;-&quot;_);_(@_)">
                  <c:v>18105554</c:v>
                </c:pt>
                <c:pt idx="30" formatCode="_(* #,##0_);_(* \(#,##0\);_(* &quot;-&quot;_);_(@_)">
                  <c:v>18932668</c:v>
                </c:pt>
                <c:pt idx="31" formatCode="_(* #,##0_);_(* \(#,##0\);_(* &quot;-&quot;_);_(@_)">
                  <c:v>19757640</c:v>
                </c:pt>
                <c:pt idx="32" formatCode="_(* #,##0_);_(* \(#,##0\);_(* &quot;-&quot;_);_(@_)">
                  <c:v>20704232</c:v>
                </c:pt>
              </c:numCache>
            </c:numRef>
          </c:val>
          <c:extLst>
            <c:ext xmlns:c16="http://schemas.microsoft.com/office/drawing/2014/chart" uri="{C3380CC4-5D6E-409C-BE32-E72D297353CC}">
              <c16:uniqueId val="{00000009-36E6-4A32-87F8-D292CCC8D1E6}"/>
            </c:ext>
          </c:extLst>
        </c:ser>
        <c:dLbls>
          <c:dLblPos val="ctr"/>
          <c:showLegendKey val="0"/>
          <c:showVal val="1"/>
          <c:showCatName val="0"/>
          <c:showSerName val="0"/>
          <c:showPercent val="0"/>
          <c:showBubbleSize val="0"/>
        </c:dLbls>
        <c:gapWidth val="65"/>
        <c:overlap val="100"/>
        <c:axId val="304069288"/>
        <c:axId val="304068112"/>
      </c:barChart>
      <c:catAx>
        <c:axId val="304069288"/>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304068112"/>
        <c:crosses val="autoZero"/>
        <c:auto val="1"/>
        <c:lblAlgn val="ctr"/>
        <c:lblOffset val="100"/>
        <c:noMultiLvlLbl val="0"/>
      </c:catAx>
      <c:valAx>
        <c:axId val="304068112"/>
        <c:scaling>
          <c:orientation val="minMax"/>
        </c:scaling>
        <c:delete val="0"/>
        <c:axPos val="l"/>
        <c:majorGridlines>
          <c:spPr>
            <a:ln w="6350" cap="flat" cmpd="sng" algn="ctr">
              <a:solidFill>
                <a:schemeClr val="tx1">
                  <a:tint val="75000"/>
                </a:schemeClr>
              </a:solidFill>
              <a:prstDash val="solid"/>
              <a:round/>
            </a:ln>
            <a:effectLst/>
          </c:spPr>
        </c:majorGridlines>
        <c:numFmt formatCode="_(* #,##0_);_(* \(#,##0\);_(* &quot;-&quot;_);_(@_)"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304069288"/>
        <c:crosses val="autoZero"/>
        <c:crossBetween val="between"/>
        <c:dispUnits>
          <c:builtInUnit val="millions"/>
          <c:dispUnitsLbl>
            <c:layout>
              <c:manualLayout>
                <c:xMode val="edge"/>
                <c:yMode val="edge"/>
                <c:x val="2.7777777777777779E-3"/>
                <c:y val="0.40829870224555265"/>
              </c:manualLayout>
            </c:layout>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dispUnitsLbl>
        </c:dispUnits>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Times New Roman" panose="02020603050405020304" pitchFamily="18" charset="0"/>
                <a:cs typeface="Times New Roman" panose="02020603050405020304" pitchFamily="18" charset="0"/>
              </a:rPr>
              <a:t>Five Year Total Outstanding</a:t>
            </a:r>
            <a:r>
              <a:rPr lang="en-US" sz="1200" b="1" baseline="0">
                <a:latin typeface="Times New Roman" panose="02020603050405020304" pitchFamily="18" charset="0"/>
                <a:cs typeface="Times New Roman" panose="02020603050405020304" pitchFamily="18" charset="0"/>
              </a:rPr>
              <a:t> Debt</a:t>
            </a:r>
            <a:endParaRPr lang="en-US" sz="1200" b="1">
              <a:latin typeface="Times New Roman" panose="02020603050405020304" pitchFamily="18" charset="0"/>
              <a:cs typeface="Times New Roman" panose="02020603050405020304" pitchFamily="18" charset="0"/>
            </a:endParaRPr>
          </a:p>
          <a:p>
            <a:pPr>
              <a:defRPr/>
            </a:pPr>
            <a:r>
              <a:rPr lang="en-US" sz="1200" b="1">
                <a:latin typeface="Times New Roman" panose="02020603050405020304" pitchFamily="18" charset="0"/>
                <a:cs typeface="Times New Roman" panose="02020603050405020304" pitchFamily="18" charset="0"/>
              </a:rPr>
              <a:t>Revenue</a:t>
            </a:r>
            <a:r>
              <a:rPr lang="en-US" sz="1200" b="1" baseline="0">
                <a:latin typeface="Times New Roman" panose="02020603050405020304" pitchFamily="18" charset="0"/>
                <a:cs typeface="Times New Roman" panose="02020603050405020304" pitchFamily="18" charset="0"/>
              </a:rPr>
              <a:t> Supported </a:t>
            </a:r>
          </a:p>
          <a:p>
            <a:pPr>
              <a:defRPr/>
            </a:pPr>
            <a:r>
              <a:rPr lang="en-US" sz="1000" b="1" baseline="0">
                <a:latin typeface="Times New Roman" panose="02020603050405020304" pitchFamily="18" charset="0"/>
                <a:cs typeface="Times New Roman" panose="02020603050405020304" pitchFamily="18" charset="0"/>
              </a:rPr>
              <a:t>2020-2024</a:t>
            </a:r>
            <a:r>
              <a:rPr lang="en-US" sz="1000" baseline="0">
                <a:latin typeface="Times New Roman" panose="02020603050405020304" pitchFamily="18" charset="0"/>
                <a:cs typeface="Times New Roman" panose="02020603050405020304" pitchFamily="18" charset="0"/>
              </a:rPr>
              <a:t> </a:t>
            </a:r>
            <a:endParaRPr lang="en-US" sz="1000">
              <a:latin typeface="Times New Roman" panose="02020603050405020304" pitchFamily="18" charset="0"/>
              <a:cs typeface="Times New Roman" panose="02020603050405020304" pitchFamily="18" charset="0"/>
            </a:endParaRPr>
          </a:p>
        </c:rich>
      </c:tx>
      <c:layout>
        <c:manualLayout>
          <c:xMode val="edge"/>
          <c:yMode val="edge"/>
          <c:x val="0.25609680499679088"/>
          <c:y val="4.17827298050139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'Outstanding debt'!$A$4:$A$8</c:f>
              <c:numCache>
                <c:formatCode>General</c:formatCode>
                <c:ptCount val="5"/>
                <c:pt idx="0">
                  <c:v>2020</c:v>
                </c:pt>
                <c:pt idx="1">
                  <c:v>2021</c:v>
                </c:pt>
                <c:pt idx="2">
                  <c:v>2022</c:v>
                </c:pt>
                <c:pt idx="3">
                  <c:v>2023</c:v>
                </c:pt>
                <c:pt idx="4">
                  <c:v>2024</c:v>
                </c:pt>
              </c:numCache>
            </c:numRef>
          </c:cat>
          <c:val>
            <c:numRef>
              <c:f>'Outstanding debt'!$B$4:$B$8</c:f>
              <c:numCache>
                <c:formatCode>_("$"* #,##0_);_("$"* \(#,##0\);_("$"* "-"_);_(@_)</c:formatCode>
                <c:ptCount val="5"/>
                <c:pt idx="0">
                  <c:v>91975000</c:v>
                </c:pt>
                <c:pt idx="1">
                  <c:v>93242510</c:v>
                </c:pt>
                <c:pt idx="2">
                  <c:v>283230052</c:v>
                </c:pt>
                <c:pt idx="3">
                  <c:v>280990052</c:v>
                </c:pt>
                <c:pt idx="4">
                  <c:v>278665052</c:v>
                </c:pt>
              </c:numCache>
            </c:numRef>
          </c:val>
          <c:extLst>
            <c:ext xmlns:c16="http://schemas.microsoft.com/office/drawing/2014/chart" uri="{C3380CC4-5D6E-409C-BE32-E72D297353CC}">
              <c16:uniqueId val="{00000000-4536-494B-B69B-0D363E6EF23D}"/>
            </c:ext>
          </c:extLst>
        </c:ser>
        <c:dLbls>
          <c:showLegendKey val="0"/>
          <c:showVal val="0"/>
          <c:showCatName val="0"/>
          <c:showSerName val="0"/>
          <c:showPercent val="0"/>
          <c:showBubbleSize val="0"/>
        </c:dLbls>
        <c:gapWidth val="219"/>
        <c:overlap val="-27"/>
        <c:axId val="498394408"/>
        <c:axId val="498398344"/>
      </c:barChart>
      <c:catAx>
        <c:axId val="49839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398344"/>
        <c:crosses val="autoZero"/>
        <c:auto val="1"/>
        <c:lblAlgn val="ctr"/>
        <c:lblOffset val="100"/>
        <c:noMultiLvlLbl val="0"/>
      </c:catAx>
      <c:valAx>
        <c:axId val="49839834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8394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latin typeface="Times New Roman" panose="02020603050405020304" pitchFamily="18" charset="0"/>
                <a:cs typeface="Times New Roman" panose="02020603050405020304" pitchFamily="18" charset="0"/>
              </a:rPr>
              <a:t>Hidalgo County Regional Mobility</a:t>
            </a:r>
            <a:r>
              <a:rPr lang="en-US" sz="1200" b="1" baseline="0">
                <a:latin typeface="Times New Roman" panose="02020603050405020304" pitchFamily="18" charset="0"/>
                <a:cs typeface="Times New Roman" panose="02020603050405020304" pitchFamily="18" charset="0"/>
              </a:rPr>
              <a:t> Authority</a:t>
            </a:r>
          </a:p>
          <a:p>
            <a:pPr>
              <a:defRPr/>
            </a:pPr>
            <a:r>
              <a:rPr lang="en-US" sz="1200" b="1" baseline="0">
                <a:latin typeface="Times New Roman" panose="02020603050405020304" pitchFamily="18" charset="0"/>
                <a:cs typeface="Times New Roman" panose="02020603050405020304" pitchFamily="18" charset="0"/>
              </a:rPr>
              <a:t>Inflation-Adjusted Revenue Supported Debt Per Capita</a:t>
            </a:r>
          </a:p>
          <a:p>
            <a:pPr>
              <a:defRPr/>
            </a:pPr>
            <a:r>
              <a:rPr lang="en-US" sz="1200" b="1" baseline="0">
                <a:latin typeface="Times New Roman" panose="02020603050405020304" pitchFamily="18" charset="0"/>
                <a:cs typeface="Times New Roman" panose="02020603050405020304" pitchFamily="18" charset="0"/>
              </a:rPr>
              <a:t>2020-2024</a:t>
            </a:r>
            <a:endParaRPr lang="en-US" sz="1200" b="1">
              <a:latin typeface="Times New Roman" panose="02020603050405020304" pitchFamily="18" charset="0"/>
              <a:cs typeface="Times New Roman" panose="02020603050405020304" pitchFamily="18" charset="0"/>
            </a:endParaRPr>
          </a:p>
        </c:rich>
      </c:tx>
      <c:layout>
        <c:manualLayout>
          <c:xMode val="edge"/>
          <c:yMode val="edge"/>
          <c:x val="0.14198422267324712"/>
          <c:y val="2.2416203465719926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112437617189178"/>
          <c:y val="0.19564748976513682"/>
          <c:w val="0.86172248322669176"/>
          <c:h val="0.6354308652594896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'CPI Index Data'!$A$2:$A$6</c:f>
              <c:numCache>
                <c:formatCode>General</c:formatCode>
                <c:ptCount val="5"/>
                <c:pt idx="0">
                  <c:v>2020</c:v>
                </c:pt>
                <c:pt idx="1">
                  <c:v>2021</c:v>
                </c:pt>
                <c:pt idx="2">
                  <c:v>2022</c:v>
                </c:pt>
                <c:pt idx="3">
                  <c:v>2023</c:v>
                </c:pt>
                <c:pt idx="4">
                  <c:v>2024</c:v>
                </c:pt>
              </c:numCache>
            </c:numRef>
          </c:cat>
          <c:val>
            <c:numRef>
              <c:f>'CPI Index Data'!$E$2:$E$6</c:f>
              <c:numCache>
                <c:formatCode>_("$"* #,##0.00_);_("$"* \(#,##0.00\);_("$"* "-"??_);_(@_)</c:formatCode>
                <c:ptCount val="5"/>
                <c:pt idx="0">
                  <c:v>113.508</c:v>
                </c:pt>
                <c:pt idx="1">
                  <c:v>109.0758</c:v>
                </c:pt>
                <c:pt idx="2">
                  <c:v>337.94920000000002</c:v>
                </c:pt>
                <c:pt idx="3">
                  <c:v>322.12220000000002</c:v>
                </c:pt>
                <c:pt idx="4">
                  <c:v>313.74830000000003</c:v>
                </c:pt>
              </c:numCache>
            </c:numRef>
          </c:val>
          <c:extLst>
            <c:ext xmlns:c16="http://schemas.microsoft.com/office/drawing/2014/chart" uri="{C3380CC4-5D6E-409C-BE32-E72D297353CC}">
              <c16:uniqueId val="{00000000-A05A-4076-A2D9-EAD9B1B4967A}"/>
            </c:ext>
          </c:extLst>
        </c:ser>
        <c:dLbls>
          <c:showLegendKey val="0"/>
          <c:showVal val="0"/>
          <c:showCatName val="0"/>
          <c:showSerName val="0"/>
          <c:showPercent val="0"/>
          <c:showBubbleSize val="0"/>
        </c:dLbls>
        <c:gapWidth val="219"/>
        <c:overlap val="-27"/>
        <c:axId val="439351040"/>
        <c:axId val="439352352"/>
      </c:barChart>
      <c:catAx>
        <c:axId val="43935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352352"/>
        <c:crosses val="autoZero"/>
        <c:auto val="1"/>
        <c:lblAlgn val="ctr"/>
        <c:lblOffset val="100"/>
        <c:noMultiLvlLbl val="0"/>
      </c:catAx>
      <c:valAx>
        <c:axId val="439352352"/>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3510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190499</xdr:rowOff>
    </xdr:from>
    <xdr:to>
      <xdr:col>10</xdr:col>
      <xdr:colOff>63500</xdr:colOff>
      <xdr:row>56</xdr:row>
      <xdr:rowOff>15875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76200</xdr:colOff>
      <xdr:row>14</xdr:row>
      <xdr:rowOff>68580</xdr:rowOff>
    </xdr:to>
    <xdr:graphicFrame macro="">
      <xdr:nvGraphicFramePr>
        <xdr:cNvPr id="2" name="Chart 1">
          <a:extLst>
            <a:ext uri="{FF2B5EF4-FFF2-40B4-BE49-F238E27FC236}">
              <a16:creationId xmlns:a16="http://schemas.microsoft.com/office/drawing/2014/main" id="{2764CCDA-AED2-4830-BA6A-28F87F1B2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22860</xdr:colOff>
      <xdr:row>13</xdr:row>
      <xdr:rowOff>83820</xdr:rowOff>
    </xdr:to>
    <xdr:graphicFrame macro="">
      <xdr:nvGraphicFramePr>
        <xdr:cNvPr id="2" name="Chart 1">
          <a:extLst>
            <a:ext uri="{FF2B5EF4-FFF2-40B4-BE49-F238E27FC236}">
              <a16:creationId xmlns:a16="http://schemas.microsoft.com/office/drawing/2014/main" id="{F0CA4799-3BD8-4DCA-B579-3D52C5331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57"/>
  <sheetViews>
    <sheetView tabSelected="1" zoomScaleNormal="100" workbookViewId="0"/>
  </sheetViews>
  <sheetFormatPr defaultColWidth="9.140625" defaultRowHeight="15"/>
  <cols>
    <col min="1" max="1" width="16.7109375" style="14" customWidth="1"/>
    <col min="2" max="2" width="12.42578125" customWidth="1"/>
    <col min="3" max="3" width="15.140625" customWidth="1"/>
    <col min="4" max="5" width="13.42578125" bestFit="1" customWidth="1"/>
    <col min="6" max="6" width="5.42578125" style="14" customWidth="1"/>
    <col min="7" max="25" width="9.140625" style="14"/>
  </cols>
  <sheetData>
    <row r="1" spans="2:6">
      <c r="B1" s="103" t="s">
        <v>34</v>
      </c>
      <c r="C1" s="103"/>
      <c r="D1" s="103"/>
      <c r="E1" s="103"/>
      <c r="F1" s="102"/>
    </row>
    <row r="2" spans="2:6">
      <c r="B2" s="103" t="s">
        <v>8</v>
      </c>
      <c r="C2" s="103"/>
      <c r="D2" s="103"/>
      <c r="E2" s="103"/>
      <c r="F2" s="102"/>
    </row>
    <row r="3" spans="2:6">
      <c r="B3" s="103" t="s">
        <v>9</v>
      </c>
      <c r="C3" s="103"/>
      <c r="D3" s="103"/>
      <c r="E3" s="103"/>
      <c r="F3" s="102"/>
    </row>
    <row r="4" spans="2:6">
      <c r="B4" s="103" t="s">
        <v>99</v>
      </c>
      <c r="C4" s="103"/>
      <c r="D4" s="103"/>
      <c r="E4" s="103"/>
      <c r="F4" s="102"/>
    </row>
    <row r="5" spans="2:6">
      <c r="B5" s="14"/>
      <c r="C5" s="14"/>
      <c r="D5" s="14"/>
      <c r="E5" s="14"/>
    </row>
    <row r="6" spans="2:6">
      <c r="B6" s="10"/>
      <c r="C6" s="211" t="s">
        <v>11</v>
      </c>
      <c r="D6" s="211"/>
      <c r="E6" s="211"/>
      <c r="F6" s="17"/>
    </row>
    <row r="7" spans="2:6">
      <c r="B7" s="11" t="s">
        <v>0</v>
      </c>
      <c r="C7" s="211" t="s">
        <v>10</v>
      </c>
      <c r="D7" s="211"/>
      <c r="E7" s="211"/>
      <c r="F7" s="17"/>
    </row>
    <row r="8" spans="2:6">
      <c r="B8" s="12" t="s">
        <v>44</v>
      </c>
      <c r="C8" s="12" t="s">
        <v>2</v>
      </c>
      <c r="D8" s="12" t="s">
        <v>3</v>
      </c>
      <c r="E8" s="12" t="s">
        <v>4</v>
      </c>
      <c r="F8" s="18"/>
    </row>
    <row r="9" spans="2:6">
      <c r="B9" s="26">
        <v>2025</v>
      </c>
      <c r="C9" s="166">
        <v>2345000</v>
      </c>
      <c r="D9" s="166">
        <v>6400154</v>
      </c>
      <c r="E9" s="206">
        <f t="shared" ref="E9:E16" si="0">SUM(C9:D9)</f>
        <v>8745154</v>
      </c>
      <c r="F9" s="19"/>
    </row>
    <row r="10" spans="2:6">
      <c r="B10" s="26">
        <v>2026</v>
      </c>
      <c r="C10" s="106">
        <v>2365000</v>
      </c>
      <c r="D10" s="106">
        <v>6375204</v>
      </c>
      <c r="E10" s="107">
        <f t="shared" si="0"/>
        <v>8740204</v>
      </c>
      <c r="F10" s="19"/>
    </row>
    <row r="11" spans="2:6">
      <c r="B11" s="26">
        <v>2027</v>
      </c>
      <c r="C11" s="106">
        <v>2400000</v>
      </c>
      <c r="D11" s="106">
        <v>6342945</v>
      </c>
      <c r="E11" s="107">
        <f t="shared" si="0"/>
        <v>8742945</v>
      </c>
      <c r="F11" s="19"/>
    </row>
    <row r="12" spans="2:6">
      <c r="B12" s="26">
        <v>2028</v>
      </c>
      <c r="C12" s="106">
        <v>3475000</v>
      </c>
      <c r="D12" s="106">
        <v>6307809</v>
      </c>
      <c r="E12" s="107">
        <f t="shared" si="0"/>
        <v>9782809</v>
      </c>
      <c r="F12" s="19"/>
    </row>
    <row r="13" spans="2:6">
      <c r="B13" s="26">
        <v>2029</v>
      </c>
      <c r="C13" s="106">
        <v>4550000</v>
      </c>
      <c r="D13" s="106">
        <v>6214852</v>
      </c>
      <c r="E13" s="107">
        <f t="shared" si="0"/>
        <v>10764852</v>
      </c>
      <c r="F13" s="19"/>
    </row>
    <row r="14" spans="2:6">
      <c r="B14" s="26">
        <v>2030</v>
      </c>
      <c r="C14" s="106">
        <v>6080000</v>
      </c>
      <c r="D14" s="106">
        <v>6066998</v>
      </c>
      <c r="E14" s="107">
        <f t="shared" si="0"/>
        <v>12146998</v>
      </c>
      <c r="F14" s="19"/>
    </row>
    <row r="15" spans="2:6">
      <c r="B15" s="26">
        <v>2031</v>
      </c>
      <c r="C15" s="106">
        <v>7480000</v>
      </c>
      <c r="D15" s="106">
        <v>5841571</v>
      </c>
      <c r="E15" s="107">
        <f t="shared" si="0"/>
        <v>13321571</v>
      </c>
      <c r="F15" s="19"/>
    </row>
    <row r="16" spans="2:6">
      <c r="B16" s="26">
        <v>2032</v>
      </c>
      <c r="C16" s="106">
        <v>8270000</v>
      </c>
      <c r="D16" s="106">
        <v>5545134</v>
      </c>
      <c r="E16" s="107">
        <f t="shared" si="0"/>
        <v>13815134</v>
      </c>
      <c r="F16" s="19"/>
    </row>
    <row r="17" spans="2:6">
      <c r="B17" s="26">
        <v>2033</v>
      </c>
      <c r="C17" s="107">
        <v>9055000</v>
      </c>
      <c r="D17" s="107">
        <v>5208232</v>
      </c>
      <c r="E17" s="107">
        <f>SUM(C17:D17)</f>
        <v>14263232</v>
      </c>
      <c r="F17" s="19"/>
    </row>
    <row r="18" spans="2:6">
      <c r="B18" s="26">
        <v>2034</v>
      </c>
      <c r="C18" s="107">
        <v>9880000</v>
      </c>
      <c r="D18" s="107">
        <v>4832057</v>
      </c>
      <c r="E18" s="107">
        <f t="shared" ref="E18:E40" si="1">SUM(C18:D18)</f>
        <v>14712057</v>
      </c>
      <c r="F18" s="19"/>
    </row>
    <row r="19" spans="2:6">
      <c r="B19" s="26">
        <v>2035</v>
      </c>
      <c r="C19" s="107">
        <v>10895000</v>
      </c>
      <c r="D19" s="107">
        <v>4413624</v>
      </c>
      <c r="E19" s="107">
        <f t="shared" si="1"/>
        <v>15308624</v>
      </c>
      <c r="F19" s="19"/>
    </row>
    <row r="20" spans="2:6">
      <c r="B20" s="26">
        <v>2036</v>
      </c>
      <c r="C20" s="107">
        <v>11835000</v>
      </c>
      <c r="D20" s="107">
        <v>3943724</v>
      </c>
      <c r="E20" s="107">
        <f t="shared" si="1"/>
        <v>15778724</v>
      </c>
      <c r="F20" s="19"/>
    </row>
    <row r="21" spans="2:6">
      <c r="B21" s="26">
        <v>2037</v>
      </c>
      <c r="C21" s="107">
        <v>12805000</v>
      </c>
      <c r="D21" s="107">
        <v>3411586</v>
      </c>
      <c r="E21" s="107">
        <f t="shared" si="1"/>
        <v>16216586</v>
      </c>
      <c r="F21" s="19"/>
    </row>
    <row r="22" spans="2:6">
      <c r="B22" s="26">
        <v>2038</v>
      </c>
      <c r="C22" s="107">
        <v>13955000</v>
      </c>
      <c r="D22" s="107">
        <v>2931373</v>
      </c>
      <c r="E22" s="107">
        <f t="shared" si="1"/>
        <v>16886373</v>
      </c>
      <c r="F22" s="19"/>
    </row>
    <row r="23" spans="2:6">
      <c r="B23" s="26">
        <v>2039</v>
      </c>
      <c r="C23" s="107">
        <v>14960000</v>
      </c>
      <c r="D23" s="107">
        <v>2406085</v>
      </c>
      <c r="E23" s="107">
        <f t="shared" si="1"/>
        <v>17366085</v>
      </c>
      <c r="F23" s="19"/>
    </row>
    <row r="24" spans="2:6">
      <c r="B24" s="26">
        <v>2040</v>
      </c>
      <c r="C24" s="107">
        <v>16030000</v>
      </c>
      <c r="D24" s="107">
        <v>1841576</v>
      </c>
      <c r="E24" s="107">
        <f t="shared" si="1"/>
        <v>17871576</v>
      </c>
      <c r="F24" s="19"/>
    </row>
    <row r="25" spans="2:6">
      <c r="B25" s="26">
        <v>2041</v>
      </c>
      <c r="C25" s="107">
        <v>17385000</v>
      </c>
      <c r="D25" s="107">
        <v>1235247</v>
      </c>
      <c r="E25" s="107">
        <f t="shared" si="1"/>
        <v>18620247</v>
      </c>
      <c r="F25" s="19"/>
    </row>
    <row r="26" spans="2:6">
      <c r="B26" s="26">
        <v>2042</v>
      </c>
      <c r="C26" s="107">
        <v>10583969</v>
      </c>
      <c r="D26" s="107">
        <v>8604803</v>
      </c>
      <c r="E26" s="107">
        <f t="shared" si="1"/>
        <v>19188772</v>
      </c>
      <c r="F26" s="19"/>
    </row>
    <row r="27" spans="2:6">
      <c r="B27" s="26">
        <v>2043</v>
      </c>
      <c r="C27" s="107">
        <v>10602665</v>
      </c>
      <c r="D27" s="107">
        <v>9165206</v>
      </c>
      <c r="E27" s="107">
        <f t="shared" si="1"/>
        <v>19767871</v>
      </c>
      <c r="F27" s="19"/>
    </row>
    <row r="28" spans="2:6">
      <c r="B28" s="26">
        <v>2044</v>
      </c>
      <c r="C28" s="107">
        <v>8964858</v>
      </c>
      <c r="D28" s="107">
        <v>10734142</v>
      </c>
      <c r="E28" s="107">
        <f t="shared" si="1"/>
        <v>19699000</v>
      </c>
      <c r="F28" s="19"/>
    </row>
    <row r="29" spans="2:6">
      <c r="B29" s="26">
        <v>2045</v>
      </c>
      <c r="C29" s="107">
        <v>8865409</v>
      </c>
      <c r="D29" s="107">
        <v>11440491</v>
      </c>
      <c r="E29" s="107">
        <f t="shared" si="1"/>
        <v>20305900</v>
      </c>
      <c r="F29" s="19"/>
    </row>
    <row r="30" spans="2:6">
      <c r="B30" s="26">
        <v>2046</v>
      </c>
      <c r="C30" s="107">
        <v>8756327</v>
      </c>
      <c r="D30" s="107">
        <v>12080273</v>
      </c>
      <c r="E30" s="107">
        <f t="shared" si="1"/>
        <v>20836600</v>
      </c>
      <c r="F30" s="19"/>
    </row>
    <row r="31" spans="2:6">
      <c r="B31" s="26">
        <v>2047</v>
      </c>
      <c r="C31" s="107">
        <v>8793776</v>
      </c>
      <c r="D31" s="107">
        <v>12849024</v>
      </c>
      <c r="E31" s="107">
        <f t="shared" si="1"/>
        <v>21642800</v>
      </c>
      <c r="F31" s="19"/>
    </row>
    <row r="32" spans="2:6">
      <c r="B32" s="26">
        <v>2048</v>
      </c>
      <c r="C32" s="107">
        <v>8738234</v>
      </c>
      <c r="D32" s="107">
        <v>13483566</v>
      </c>
      <c r="E32" s="107">
        <f t="shared" si="1"/>
        <v>22221800</v>
      </c>
      <c r="F32" s="19"/>
    </row>
    <row r="33" spans="2:6">
      <c r="B33" s="26">
        <v>2049</v>
      </c>
      <c r="C33" s="107">
        <v>8697930</v>
      </c>
      <c r="D33" s="107">
        <v>14155670</v>
      </c>
      <c r="E33" s="107">
        <f t="shared" si="1"/>
        <v>22853600</v>
      </c>
      <c r="F33" s="19"/>
    </row>
    <row r="34" spans="2:6">
      <c r="B34" s="26">
        <v>2050</v>
      </c>
      <c r="C34" s="107">
        <v>8729680</v>
      </c>
      <c r="D34" s="107">
        <v>15003320</v>
      </c>
      <c r="E34" s="107">
        <f t="shared" si="1"/>
        <v>23733000</v>
      </c>
      <c r="F34" s="19"/>
    </row>
    <row r="35" spans="2:6">
      <c r="B35" s="26">
        <v>2051</v>
      </c>
      <c r="C35" s="107">
        <v>7331985</v>
      </c>
      <c r="D35" s="107">
        <v>16343016</v>
      </c>
      <c r="E35" s="107">
        <f t="shared" si="1"/>
        <v>23675001</v>
      </c>
      <c r="F35" s="19"/>
    </row>
    <row r="36" spans="2:6">
      <c r="B36" s="26">
        <v>2052</v>
      </c>
      <c r="C36" s="107">
        <v>7185315</v>
      </c>
      <c r="D36" s="107">
        <v>17159685</v>
      </c>
      <c r="E36" s="107">
        <f t="shared" si="1"/>
        <v>24345000</v>
      </c>
      <c r="F36" s="19"/>
    </row>
    <row r="37" spans="2:6">
      <c r="B37" s="26">
        <v>2053</v>
      </c>
      <c r="C37" s="107">
        <v>7109446</v>
      </c>
      <c r="D37" s="107">
        <v>18105554</v>
      </c>
      <c r="E37" s="107">
        <f t="shared" si="1"/>
        <v>25215000</v>
      </c>
      <c r="F37" s="19"/>
    </row>
    <row r="38" spans="2:6">
      <c r="B38" s="26">
        <v>2054</v>
      </c>
      <c r="C38" s="107">
        <v>6977333</v>
      </c>
      <c r="D38" s="107">
        <v>18932668</v>
      </c>
      <c r="E38" s="107">
        <f t="shared" si="1"/>
        <v>25910001</v>
      </c>
      <c r="F38" s="19"/>
    </row>
    <row r="39" spans="2:6">
      <c r="B39" s="26">
        <v>2055</v>
      </c>
      <c r="C39" s="107">
        <v>6837360</v>
      </c>
      <c r="D39" s="107">
        <v>19757640</v>
      </c>
      <c r="E39" s="107">
        <f t="shared" si="1"/>
        <v>26595000</v>
      </c>
      <c r="F39" s="19"/>
    </row>
    <row r="40" spans="2:6">
      <c r="B40" s="26">
        <v>2056</v>
      </c>
      <c r="C40" s="107">
        <v>6725765</v>
      </c>
      <c r="D40" s="107">
        <v>20704232</v>
      </c>
      <c r="E40" s="107">
        <f t="shared" si="1"/>
        <v>27429997</v>
      </c>
      <c r="F40" s="19"/>
    </row>
    <row r="41" spans="2:6">
      <c r="B41" s="26"/>
      <c r="D41" s="9"/>
      <c r="E41" s="9"/>
      <c r="F41" s="19"/>
    </row>
    <row r="42" spans="2:6">
      <c r="B42" s="13" t="s">
        <v>41</v>
      </c>
      <c r="C42" s="108">
        <f>SUM(C9:C40)</f>
        <v>278665052</v>
      </c>
      <c r="D42" s="108">
        <f>SUM(D9:D41)</f>
        <v>297837461</v>
      </c>
      <c r="E42" s="108">
        <f>SUM(E9:E41)</f>
        <v>576502513</v>
      </c>
      <c r="F42" s="20"/>
    </row>
    <row r="43" spans="2:6" s="14" customFormat="1">
      <c r="B43" s="15"/>
      <c r="C43" s="15"/>
      <c r="D43" s="15"/>
      <c r="E43" s="15"/>
      <c r="F43" s="15"/>
    </row>
    <row r="44" spans="2:6" s="14" customFormat="1">
      <c r="B44" s="15"/>
      <c r="C44" s="15"/>
      <c r="D44" s="15"/>
      <c r="E44" s="15"/>
      <c r="F44" s="15"/>
    </row>
    <row r="45" spans="2:6" s="14" customFormat="1">
      <c r="B45" s="15"/>
      <c r="C45" s="15"/>
      <c r="D45" s="15"/>
      <c r="E45" s="15"/>
      <c r="F45" s="15"/>
    </row>
    <row r="46" spans="2:6" s="14" customFormat="1">
      <c r="B46" s="87"/>
      <c r="C46" s="15"/>
      <c r="D46" s="15"/>
      <c r="E46" s="15"/>
      <c r="F46" s="15"/>
    </row>
    <row r="47" spans="2:6" s="14" customFormat="1">
      <c r="B47" s="15"/>
      <c r="C47" s="15"/>
      <c r="D47" s="15"/>
      <c r="E47" s="15"/>
      <c r="F47" s="15"/>
    </row>
    <row r="48" spans="2:6" s="14" customFormat="1">
      <c r="B48" s="15"/>
      <c r="C48" s="15"/>
      <c r="D48" s="15"/>
      <c r="E48" s="15"/>
      <c r="F48" s="15"/>
    </row>
    <row r="49" spans="2:6" s="14" customFormat="1">
      <c r="B49" s="15"/>
      <c r="C49" s="15"/>
      <c r="D49" s="15"/>
      <c r="E49" s="15"/>
      <c r="F49" s="15"/>
    </row>
    <row r="50" spans="2:6" s="14" customFormat="1">
      <c r="B50" s="15"/>
      <c r="C50" s="15"/>
      <c r="D50" s="15"/>
      <c r="E50" s="15"/>
      <c r="F50" s="15"/>
    </row>
    <row r="51" spans="2:6" s="14" customFormat="1">
      <c r="B51" s="15"/>
      <c r="C51" s="15"/>
      <c r="D51" s="15"/>
      <c r="E51" s="15"/>
      <c r="F51" s="15"/>
    </row>
    <row r="52" spans="2:6" s="14" customFormat="1">
      <c r="B52" s="15"/>
      <c r="C52" s="15"/>
      <c r="D52" s="15"/>
      <c r="E52" s="15"/>
      <c r="F52" s="15"/>
    </row>
    <row r="53" spans="2:6" s="14" customFormat="1">
      <c r="B53" s="15"/>
      <c r="C53" s="15"/>
      <c r="D53" s="15"/>
      <c r="E53" s="15"/>
      <c r="F53" s="15"/>
    </row>
    <row r="54" spans="2:6" s="14" customFormat="1">
      <c r="B54" s="15"/>
      <c r="C54" s="15"/>
      <c r="D54" s="15"/>
      <c r="E54" s="15"/>
      <c r="F54" s="15"/>
    </row>
    <row r="55" spans="2:6" s="14" customFormat="1">
      <c r="B55" s="15"/>
      <c r="C55" s="15"/>
      <c r="D55" s="15"/>
      <c r="E55" s="15"/>
      <c r="F55" s="15"/>
    </row>
    <row r="56" spans="2:6" s="14" customFormat="1">
      <c r="B56" s="15"/>
      <c r="C56" s="15"/>
      <c r="D56" s="15"/>
      <c r="E56" s="15"/>
      <c r="F56" s="15"/>
    </row>
    <row r="57" spans="2:6" s="14" customFormat="1">
      <c r="B57" s="15"/>
      <c r="C57" s="15"/>
      <c r="D57" s="15"/>
      <c r="E57" s="15"/>
      <c r="F57" s="15"/>
    </row>
    <row r="58" spans="2:6" s="14" customFormat="1">
      <c r="B58" s="15"/>
      <c r="C58" s="15"/>
      <c r="D58" s="15"/>
      <c r="E58" s="15"/>
      <c r="F58" s="15"/>
    </row>
    <row r="59" spans="2:6" s="14" customFormat="1"/>
    <row r="60" spans="2:6" s="14" customFormat="1"/>
    <row r="61" spans="2:6" s="14" customFormat="1"/>
    <row r="62" spans="2:6" s="14" customFormat="1"/>
    <row r="63" spans="2:6" s="14" customFormat="1"/>
    <row r="64" spans="2:6"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sheetData>
  <mergeCells count="2">
    <mergeCell ref="C7:E7"/>
    <mergeCell ref="C6:E6"/>
  </mergeCells>
  <pageMargins left="0.7" right="0.7" top="0.75" bottom="0.75" header="0.3" footer="0.3"/>
  <pageSetup scale="96" orientation="portrait" r:id="rId1"/>
  <ignoredErrors>
    <ignoredError sqref="E9:E17 E19:E4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00"/>
  <sheetViews>
    <sheetView zoomScaleNormal="100" workbookViewId="0">
      <selection activeCell="Q11" sqref="Q11"/>
    </sheetView>
  </sheetViews>
  <sheetFormatPr defaultRowHeight="15"/>
  <cols>
    <col min="1" max="1" width="3.28515625" style="86" customWidth="1"/>
    <col min="2" max="2" width="51.42578125" customWidth="1"/>
    <col min="3" max="3" width="15.7109375" bestFit="1" customWidth="1"/>
    <col min="4" max="4" width="9.28515625" bestFit="1" customWidth="1"/>
    <col min="5" max="5" width="15.7109375" bestFit="1" customWidth="1"/>
    <col min="6" max="6" width="9.28515625" bestFit="1" customWidth="1"/>
    <col min="7" max="7" width="15.7109375" bestFit="1" customWidth="1"/>
    <col min="8" max="8" width="9.28515625" bestFit="1" customWidth="1"/>
    <col min="9" max="9" width="15.7109375" bestFit="1" customWidth="1"/>
    <col min="10" max="10" width="9.28515625" bestFit="1" customWidth="1"/>
    <col min="11" max="11" width="15.7109375" bestFit="1" customWidth="1"/>
    <col min="12" max="12" width="9.28515625" bestFit="1" customWidth="1"/>
    <col min="13" max="38" width="9.140625" style="14"/>
  </cols>
  <sheetData>
    <row r="1" spans="1:12">
      <c r="B1" s="212" t="s">
        <v>34</v>
      </c>
      <c r="C1" s="213"/>
      <c r="D1" s="213"/>
      <c r="E1" s="213"/>
      <c r="F1" s="213"/>
      <c r="G1" s="213"/>
      <c r="H1" s="213"/>
      <c r="I1" s="213"/>
      <c r="J1" s="213"/>
      <c r="K1" s="213"/>
      <c r="L1" s="213"/>
    </row>
    <row r="2" spans="1:12">
      <c r="B2" s="214" t="s">
        <v>43</v>
      </c>
      <c r="C2" s="215"/>
      <c r="D2" s="215"/>
      <c r="E2" s="215"/>
      <c r="F2" s="215"/>
      <c r="G2" s="215"/>
      <c r="H2" s="215"/>
      <c r="I2" s="215"/>
      <c r="J2" s="215"/>
      <c r="K2" s="215"/>
      <c r="L2" s="215"/>
    </row>
    <row r="3" spans="1:12">
      <c r="B3" s="91"/>
      <c r="C3" s="164">
        <v>2020</v>
      </c>
      <c r="D3" s="165"/>
      <c r="E3" s="164">
        <v>2021</v>
      </c>
      <c r="F3" s="165"/>
      <c r="G3" s="164">
        <v>2022</v>
      </c>
      <c r="H3" s="165"/>
      <c r="I3" s="216">
        <v>2023</v>
      </c>
      <c r="J3" s="217"/>
      <c r="K3" s="216">
        <v>2024</v>
      </c>
      <c r="L3" s="217"/>
    </row>
    <row r="4" spans="1:12">
      <c r="B4" s="92"/>
      <c r="C4" s="93" t="s">
        <v>30</v>
      </c>
      <c r="D4" s="94">
        <v>875116</v>
      </c>
      <c r="E4" s="93" t="s">
        <v>30</v>
      </c>
      <c r="F4" s="94">
        <v>881525</v>
      </c>
      <c r="G4" s="93" t="s">
        <v>30</v>
      </c>
      <c r="H4" s="94">
        <v>888367</v>
      </c>
      <c r="I4" s="93" t="s">
        <v>30</v>
      </c>
      <c r="J4" s="94">
        <v>898471</v>
      </c>
      <c r="K4" s="93" t="s">
        <v>30</v>
      </c>
      <c r="L4" s="94">
        <v>914820</v>
      </c>
    </row>
    <row r="5" spans="1:12" ht="25.5">
      <c r="B5" s="95"/>
      <c r="C5" s="96" t="s">
        <v>2</v>
      </c>
      <c r="D5" s="96" t="s">
        <v>31</v>
      </c>
      <c r="E5" s="96" t="s">
        <v>2</v>
      </c>
      <c r="F5" s="96" t="s">
        <v>31</v>
      </c>
      <c r="G5" s="96" t="s">
        <v>2</v>
      </c>
      <c r="H5" s="96" t="s">
        <v>31</v>
      </c>
      <c r="I5" s="96" t="s">
        <v>2</v>
      </c>
      <c r="J5" s="96" t="s">
        <v>31</v>
      </c>
      <c r="K5" s="96" t="s">
        <v>2</v>
      </c>
      <c r="L5" s="96" t="s">
        <v>31</v>
      </c>
    </row>
    <row r="6" spans="1:12" ht="24" customHeight="1">
      <c r="B6" s="97"/>
      <c r="C6" s="90"/>
      <c r="D6" s="90"/>
      <c r="E6" s="90"/>
      <c r="F6" s="90"/>
      <c r="G6" s="90"/>
      <c r="H6" s="90"/>
      <c r="I6" s="90"/>
      <c r="J6" s="90"/>
      <c r="K6" s="90"/>
      <c r="L6" s="90"/>
    </row>
    <row r="7" spans="1:12" ht="30">
      <c r="B7" s="88" t="s">
        <v>35</v>
      </c>
      <c r="C7" s="98">
        <v>4090000</v>
      </c>
      <c r="D7" s="100">
        <f t="shared" ref="D7:D12" si="0">C7/D$4</f>
        <v>4.6736661196915605</v>
      </c>
      <c r="E7" s="98">
        <v>2785000</v>
      </c>
      <c r="F7" s="100">
        <f t="shared" ref="F7:F12" si="1">E7/F$4</f>
        <v>3.1592978077762965</v>
      </c>
      <c r="G7" s="98">
        <v>1425000</v>
      </c>
      <c r="H7" s="100">
        <f t="shared" ref="H7:H12" si="2">G7/H$4</f>
        <v>1.6040667877127359</v>
      </c>
      <c r="I7" s="98">
        <v>0</v>
      </c>
      <c r="J7" s="100">
        <f t="shared" ref="J7:J12" si="3">I7/J$4</f>
        <v>0</v>
      </c>
      <c r="K7" s="98">
        <v>0</v>
      </c>
      <c r="L7" s="100" t="s">
        <v>111</v>
      </c>
    </row>
    <row r="8" spans="1:12" ht="30">
      <c r="B8" s="88" t="s">
        <v>54</v>
      </c>
      <c r="C8" s="98">
        <v>9870000</v>
      </c>
      <c r="D8" s="100">
        <f t="shared" si="0"/>
        <v>11.278504792507508</v>
      </c>
      <c r="E8" s="98">
        <v>9870000</v>
      </c>
      <c r="F8" s="100">
        <f t="shared" si="1"/>
        <v>11.196506054848133</v>
      </c>
      <c r="G8" s="98">
        <v>9870000</v>
      </c>
      <c r="H8" s="100">
        <f t="shared" si="2"/>
        <v>11.110273119105054</v>
      </c>
      <c r="I8" s="98">
        <v>9870000</v>
      </c>
      <c r="J8" s="100">
        <f t="shared" si="3"/>
        <v>10.985329520930559</v>
      </c>
      <c r="K8" s="98">
        <v>9870000</v>
      </c>
      <c r="L8" s="207">
        <f t="shared" ref="L8:L12" si="4">K8/L$4</f>
        <v>10.789007673640716</v>
      </c>
    </row>
    <row r="9" spans="1:12" ht="30">
      <c r="B9" s="88" t="s">
        <v>55</v>
      </c>
      <c r="C9" s="98">
        <v>58015000</v>
      </c>
      <c r="D9" s="100">
        <f t="shared" si="0"/>
        <v>66.294068443497778</v>
      </c>
      <c r="E9" s="98">
        <v>57210000</v>
      </c>
      <c r="F9" s="100">
        <f t="shared" si="1"/>
        <v>64.898896798162269</v>
      </c>
      <c r="G9" s="98">
        <v>56400000</v>
      </c>
      <c r="H9" s="100">
        <f t="shared" si="2"/>
        <v>63.487274966314601</v>
      </c>
      <c r="I9" s="98">
        <v>55585000</v>
      </c>
      <c r="J9" s="100">
        <f t="shared" si="3"/>
        <v>61.866214936263944</v>
      </c>
      <c r="K9" s="98">
        <v>53260000</v>
      </c>
      <c r="L9" s="207">
        <f t="shared" si="4"/>
        <v>58.219103211560743</v>
      </c>
    </row>
    <row r="10" spans="1:12">
      <c r="B10" s="88" t="s">
        <v>74</v>
      </c>
      <c r="C10" s="98">
        <v>20000000</v>
      </c>
      <c r="D10" s="100">
        <f t="shared" si="0"/>
        <v>22.854113054726458</v>
      </c>
      <c r="E10" s="98">
        <v>20000000</v>
      </c>
      <c r="F10" s="100">
        <f t="shared" si="1"/>
        <v>22.687955531607159</v>
      </c>
      <c r="G10" s="98">
        <v>0</v>
      </c>
      <c r="H10" s="100">
        <f t="shared" si="2"/>
        <v>0</v>
      </c>
      <c r="I10" s="98">
        <v>0</v>
      </c>
      <c r="J10" s="100">
        <f t="shared" si="3"/>
        <v>0</v>
      </c>
      <c r="K10" s="98">
        <v>0</v>
      </c>
      <c r="L10" s="100">
        <f t="shared" si="4"/>
        <v>0</v>
      </c>
    </row>
    <row r="11" spans="1:12" ht="30">
      <c r="B11" s="88" t="s">
        <v>96</v>
      </c>
      <c r="C11" s="98">
        <v>0</v>
      </c>
      <c r="D11" s="98">
        <f t="shared" si="0"/>
        <v>0</v>
      </c>
      <c r="E11" s="98">
        <v>0</v>
      </c>
      <c r="F11" s="98">
        <f t="shared" si="1"/>
        <v>0</v>
      </c>
      <c r="G11" s="98">
        <v>151650345</v>
      </c>
      <c r="H11" s="100">
        <f t="shared" si="2"/>
        <v>170.70686439275659</v>
      </c>
      <c r="I11" s="98">
        <v>151650345</v>
      </c>
      <c r="J11" s="100">
        <f t="shared" si="3"/>
        <v>168.78713391973699</v>
      </c>
      <c r="K11" s="98">
        <v>151650345</v>
      </c>
      <c r="L11" s="207">
        <f t="shared" si="4"/>
        <v>165.77069259526465</v>
      </c>
    </row>
    <row r="12" spans="1:12" ht="30">
      <c r="B12" s="88" t="s">
        <v>95</v>
      </c>
      <c r="C12" s="98">
        <v>0</v>
      </c>
      <c r="D12" s="98">
        <f t="shared" si="0"/>
        <v>0</v>
      </c>
      <c r="E12" s="98">
        <v>0</v>
      </c>
      <c r="F12" s="98">
        <f t="shared" si="1"/>
        <v>0</v>
      </c>
      <c r="G12" s="98">
        <v>63884707</v>
      </c>
      <c r="H12" s="100">
        <f t="shared" si="2"/>
        <v>71.912517011550406</v>
      </c>
      <c r="I12" s="98">
        <v>63884707</v>
      </c>
      <c r="J12" s="100">
        <f t="shared" si="3"/>
        <v>71.103805242461917</v>
      </c>
      <c r="K12" s="98">
        <v>63884707</v>
      </c>
      <c r="L12" s="207">
        <f t="shared" si="4"/>
        <v>69.833089569532802</v>
      </c>
    </row>
    <row r="13" spans="1:12">
      <c r="B13" s="99" t="s">
        <v>33</v>
      </c>
      <c r="C13" s="89">
        <f t="shared" ref="C13:J13" si="5">SUM(C7:C12)</f>
        <v>91975000</v>
      </c>
      <c r="D13" s="89">
        <f t="shared" si="5"/>
        <v>105.1003524104233</v>
      </c>
      <c r="E13" s="89">
        <f t="shared" si="5"/>
        <v>89865000</v>
      </c>
      <c r="F13" s="89">
        <f t="shared" si="5"/>
        <v>101.94265619239386</v>
      </c>
      <c r="G13" s="89">
        <f t="shared" si="5"/>
        <v>283230052</v>
      </c>
      <c r="H13" s="89">
        <f t="shared" si="5"/>
        <v>318.82099627743935</v>
      </c>
      <c r="I13" s="89">
        <f t="shared" si="5"/>
        <v>280990052</v>
      </c>
      <c r="J13" s="89">
        <f t="shared" si="5"/>
        <v>312.7424836193934</v>
      </c>
      <c r="K13" s="89">
        <f t="shared" ref="K13:L13" si="6">SUM(K7:K12)</f>
        <v>278665052</v>
      </c>
      <c r="L13" s="89">
        <f t="shared" si="6"/>
        <v>304.61189304999891</v>
      </c>
    </row>
    <row r="14" spans="1:12" s="14" customFormat="1">
      <c r="A14" s="86"/>
    </row>
    <row r="15" spans="1:12" s="14" customFormat="1">
      <c r="A15" s="86"/>
      <c r="B15" s="101" t="s">
        <v>32</v>
      </c>
    </row>
    <row r="16" spans="1:12" s="14" customFormat="1">
      <c r="A16" s="86"/>
    </row>
    <row r="17" spans="1:1" s="14" customFormat="1">
      <c r="A17" s="86"/>
    </row>
    <row r="18" spans="1:1" s="14" customFormat="1">
      <c r="A18" s="86"/>
    </row>
    <row r="19" spans="1:1" s="14" customFormat="1">
      <c r="A19" s="86"/>
    </row>
    <row r="20" spans="1:1" s="14" customFormat="1">
      <c r="A20" s="86"/>
    </row>
    <row r="21" spans="1:1" s="14" customFormat="1">
      <c r="A21" s="86"/>
    </row>
    <row r="22" spans="1:1" s="14" customFormat="1">
      <c r="A22" s="86"/>
    </row>
    <row r="23" spans="1:1" s="14" customFormat="1">
      <c r="A23" s="86"/>
    </row>
    <row r="24" spans="1:1" s="14" customFormat="1">
      <c r="A24" s="86"/>
    </row>
    <row r="25" spans="1:1" s="14" customFormat="1">
      <c r="A25" s="86"/>
    </row>
    <row r="26" spans="1:1" s="14" customFormat="1">
      <c r="A26" s="86"/>
    </row>
    <row r="27" spans="1:1" s="14" customFormat="1">
      <c r="A27" s="86"/>
    </row>
    <row r="28" spans="1:1" s="14" customFormat="1">
      <c r="A28" s="86"/>
    </row>
    <row r="29" spans="1:1" s="14" customFormat="1">
      <c r="A29" s="86"/>
    </row>
    <row r="30" spans="1:1" s="14" customFormat="1">
      <c r="A30" s="86"/>
    </row>
    <row r="31" spans="1:1" s="14" customFormat="1">
      <c r="A31" s="86"/>
    </row>
    <row r="32" spans="1:1" s="14" customFormat="1">
      <c r="A32" s="86"/>
    </row>
    <row r="33" spans="1:1" s="14" customFormat="1">
      <c r="A33" s="86"/>
    </row>
    <row r="34" spans="1:1" s="14" customFormat="1">
      <c r="A34" s="86"/>
    </row>
    <row r="35" spans="1:1" s="14" customFormat="1">
      <c r="A35" s="86"/>
    </row>
    <row r="36" spans="1:1" s="14" customFormat="1">
      <c r="A36" s="86"/>
    </row>
    <row r="37" spans="1:1" s="14" customFormat="1">
      <c r="A37" s="86"/>
    </row>
    <row r="38" spans="1:1" s="14" customFormat="1">
      <c r="A38" s="86"/>
    </row>
    <row r="39" spans="1:1" s="14" customFormat="1">
      <c r="A39" s="86"/>
    </row>
    <row r="40" spans="1:1" s="14" customFormat="1">
      <c r="A40" s="86"/>
    </row>
    <row r="41" spans="1:1" s="14" customFormat="1">
      <c r="A41" s="86"/>
    </row>
    <row r="42" spans="1:1" s="14" customFormat="1">
      <c r="A42" s="86"/>
    </row>
    <row r="43" spans="1:1" s="14" customFormat="1">
      <c r="A43" s="86"/>
    </row>
    <row r="44" spans="1:1" s="14" customFormat="1">
      <c r="A44" s="86"/>
    </row>
    <row r="45" spans="1:1" s="14" customFormat="1">
      <c r="A45" s="86"/>
    </row>
    <row r="46" spans="1:1" s="14" customFormat="1">
      <c r="A46" s="86"/>
    </row>
    <row r="47" spans="1:1" s="14" customFormat="1">
      <c r="A47" s="86"/>
    </row>
    <row r="48" spans="1:1" s="14" customFormat="1">
      <c r="A48" s="86"/>
    </row>
    <row r="49" spans="1:1" s="14" customFormat="1">
      <c r="A49" s="86"/>
    </row>
    <row r="50" spans="1:1" s="14" customFormat="1">
      <c r="A50" s="86"/>
    </row>
    <row r="51" spans="1:1" s="14" customFormat="1">
      <c r="A51" s="86"/>
    </row>
    <row r="52" spans="1:1" s="14" customFormat="1">
      <c r="A52" s="86"/>
    </row>
    <row r="53" spans="1:1" s="14" customFormat="1">
      <c r="A53" s="86"/>
    </row>
    <row r="54" spans="1:1" s="14" customFormat="1">
      <c r="A54" s="86"/>
    </row>
    <row r="55" spans="1:1" s="14" customFormat="1">
      <c r="A55" s="86"/>
    </row>
    <row r="56" spans="1:1" s="14" customFormat="1">
      <c r="A56" s="86"/>
    </row>
    <row r="57" spans="1:1" s="14" customFormat="1">
      <c r="A57" s="86"/>
    </row>
    <row r="58" spans="1:1" s="14" customFormat="1">
      <c r="A58" s="86"/>
    </row>
    <row r="59" spans="1:1" s="14" customFormat="1">
      <c r="A59" s="86"/>
    </row>
    <row r="60" spans="1:1" s="14" customFormat="1">
      <c r="A60" s="86"/>
    </row>
    <row r="61" spans="1:1" s="14" customFormat="1">
      <c r="A61" s="86"/>
    </row>
    <row r="62" spans="1:1" s="14" customFormat="1">
      <c r="A62" s="86"/>
    </row>
    <row r="63" spans="1:1" s="14" customFormat="1">
      <c r="A63" s="86"/>
    </row>
    <row r="64" spans="1:1" s="14" customFormat="1">
      <c r="A64" s="86"/>
    </row>
    <row r="65" spans="1:1" s="14" customFormat="1">
      <c r="A65" s="86"/>
    </row>
    <row r="66" spans="1:1" s="14" customFormat="1">
      <c r="A66" s="86"/>
    </row>
    <row r="67" spans="1:1" s="14" customFormat="1">
      <c r="A67" s="86"/>
    </row>
    <row r="68" spans="1:1" s="14" customFormat="1">
      <c r="A68" s="86"/>
    </row>
    <row r="69" spans="1:1" s="14" customFormat="1">
      <c r="A69" s="86"/>
    </row>
    <row r="70" spans="1:1" s="14" customFormat="1">
      <c r="A70" s="86"/>
    </row>
    <row r="71" spans="1:1" s="14" customFormat="1">
      <c r="A71" s="86"/>
    </row>
    <row r="72" spans="1:1" s="14" customFormat="1">
      <c r="A72" s="86"/>
    </row>
    <row r="73" spans="1:1" s="14" customFormat="1">
      <c r="A73" s="86"/>
    </row>
    <row r="74" spans="1:1" s="14" customFormat="1">
      <c r="A74" s="86"/>
    </row>
    <row r="75" spans="1:1" s="14" customFormat="1">
      <c r="A75" s="86"/>
    </row>
    <row r="76" spans="1:1" s="14" customFormat="1">
      <c r="A76" s="86"/>
    </row>
    <row r="77" spans="1:1" s="14" customFormat="1">
      <c r="A77" s="86"/>
    </row>
    <row r="78" spans="1:1" s="14" customFormat="1">
      <c r="A78" s="86"/>
    </row>
    <row r="79" spans="1:1" s="14" customFormat="1">
      <c r="A79" s="86"/>
    </row>
    <row r="80" spans="1:1" s="14" customFormat="1">
      <c r="A80" s="86"/>
    </row>
    <row r="81" spans="1:1" s="14" customFormat="1">
      <c r="A81" s="86"/>
    </row>
    <row r="82" spans="1:1" s="14" customFormat="1">
      <c r="A82" s="86"/>
    </row>
    <row r="83" spans="1:1" s="14" customFormat="1">
      <c r="A83" s="86"/>
    </row>
    <row r="84" spans="1:1" s="14" customFormat="1">
      <c r="A84" s="86"/>
    </row>
    <row r="85" spans="1:1" s="14" customFormat="1">
      <c r="A85" s="86"/>
    </row>
    <row r="86" spans="1:1" s="14" customFormat="1">
      <c r="A86" s="86"/>
    </row>
    <row r="87" spans="1:1" s="14" customFormat="1">
      <c r="A87" s="86"/>
    </row>
    <row r="88" spans="1:1" s="14" customFormat="1">
      <c r="A88" s="86"/>
    </row>
    <row r="89" spans="1:1" s="14" customFormat="1">
      <c r="A89" s="86"/>
    </row>
    <row r="90" spans="1:1" s="14" customFormat="1">
      <c r="A90" s="86"/>
    </row>
    <row r="91" spans="1:1" s="14" customFormat="1">
      <c r="A91" s="86"/>
    </row>
    <row r="92" spans="1:1" s="14" customFormat="1">
      <c r="A92" s="86"/>
    </row>
    <row r="93" spans="1:1" s="14" customFormat="1">
      <c r="A93" s="86"/>
    </row>
    <row r="94" spans="1:1" s="14" customFormat="1">
      <c r="A94" s="86"/>
    </row>
    <row r="95" spans="1:1" s="14" customFormat="1">
      <c r="A95" s="86"/>
    </row>
    <row r="96" spans="1:1" s="14" customFormat="1">
      <c r="A96" s="86"/>
    </row>
    <row r="97" spans="1:1" s="14" customFormat="1">
      <c r="A97" s="86"/>
    </row>
    <row r="98" spans="1:1" s="14" customFormat="1">
      <c r="A98" s="86"/>
    </row>
    <row r="99" spans="1:1" s="14" customFormat="1">
      <c r="A99" s="86"/>
    </row>
    <row r="100" spans="1:1" s="14" customFormat="1">
      <c r="A100" s="86"/>
    </row>
    <row r="101" spans="1:1" s="14" customFormat="1">
      <c r="A101" s="86"/>
    </row>
    <row r="102" spans="1:1" s="14" customFormat="1">
      <c r="A102" s="86"/>
    </row>
    <row r="103" spans="1:1" s="14" customFormat="1">
      <c r="A103" s="86"/>
    </row>
    <row r="104" spans="1:1" s="14" customFormat="1">
      <c r="A104" s="86"/>
    </row>
    <row r="105" spans="1:1" s="14" customFormat="1">
      <c r="A105" s="86"/>
    </row>
    <row r="106" spans="1:1" s="14" customFormat="1">
      <c r="A106" s="86"/>
    </row>
    <row r="107" spans="1:1" s="14" customFormat="1">
      <c r="A107" s="86"/>
    </row>
    <row r="108" spans="1:1" s="14" customFormat="1">
      <c r="A108" s="86"/>
    </row>
    <row r="109" spans="1:1" s="14" customFormat="1">
      <c r="A109" s="86"/>
    </row>
    <row r="110" spans="1:1" s="14" customFormat="1">
      <c r="A110" s="86"/>
    </row>
    <row r="111" spans="1:1" s="14" customFormat="1">
      <c r="A111" s="86"/>
    </row>
    <row r="112" spans="1:1" s="14" customFormat="1">
      <c r="A112" s="86"/>
    </row>
    <row r="113" spans="1:1" s="14" customFormat="1">
      <c r="A113" s="86"/>
    </row>
    <row r="114" spans="1:1" s="14" customFormat="1">
      <c r="A114" s="86"/>
    </row>
    <row r="115" spans="1:1" s="14" customFormat="1">
      <c r="A115" s="86"/>
    </row>
    <row r="116" spans="1:1" s="14" customFormat="1">
      <c r="A116" s="86"/>
    </row>
    <row r="117" spans="1:1" s="14" customFormat="1">
      <c r="A117" s="86"/>
    </row>
    <row r="118" spans="1:1" s="14" customFormat="1">
      <c r="A118" s="86"/>
    </row>
    <row r="119" spans="1:1" s="14" customFormat="1">
      <c r="A119" s="86"/>
    </row>
    <row r="120" spans="1:1" s="14" customFormat="1">
      <c r="A120" s="86"/>
    </row>
    <row r="121" spans="1:1" s="14" customFormat="1">
      <c r="A121" s="86"/>
    </row>
    <row r="122" spans="1:1" s="14" customFormat="1">
      <c r="A122" s="86"/>
    </row>
    <row r="123" spans="1:1" s="14" customFormat="1">
      <c r="A123" s="86"/>
    </row>
    <row r="124" spans="1:1" s="14" customFormat="1">
      <c r="A124" s="86"/>
    </row>
    <row r="125" spans="1:1" s="14" customFormat="1">
      <c r="A125" s="86"/>
    </row>
    <row r="126" spans="1:1" s="14" customFormat="1">
      <c r="A126" s="86"/>
    </row>
    <row r="127" spans="1:1" s="14" customFormat="1">
      <c r="A127" s="86"/>
    </row>
    <row r="128" spans="1:1" s="14" customFormat="1">
      <c r="A128" s="86"/>
    </row>
    <row r="129" spans="1:1" s="14" customFormat="1">
      <c r="A129" s="86"/>
    </row>
    <row r="130" spans="1:1" s="14" customFormat="1">
      <c r="A130" s="86"/>
    </row>
    <row r="131" spans="1:1" s="14" customFormat="1">
      <c r="A131" s="86"/>
    </row>
    <row r="132" spans="1:1" s="14" customFormat="1">
      <c r="A132" s="86"/>
    </row>
    <row r="133" spans="1:1" s="14" customFormat="1">
      <c r="A133" s="86"/>
    </row>
    <row r="134" spans="1:1" s="14" customFormat="1">
      <c r="A134" s="86"/>
    </row>
    <row r="135" spans="1:1" s="14" customFormat="1">
      <c r="A135" s="86"/>
    </row>
    <row r="136" spans="1:1" s="14" customFormat="1">
      <c r="A136" s="86"/>
    </row>
    <row r="137" spans="1:1" s="14" customFormat="1">
      <c r="A137" s="86"/>
    </row>
    <row r="138" spans="1:1" s="14" customFormat="1">
      <c r="A138" s="86"/>
    </row>
    <row r="139" spans="1:1" s="14" customFormat="1">
      <c r="A139" s="86"/>
    </row>
    <row r="140" spans="1:1" s="14" customFormat="1">
      <c r="A140" s="86"/>
    </row>
    <row r="141" spans="1:1" s="14" customFormat="1">
      <c r="A141" s="86"/>
    </row>
    <row r="142" spans="1:1" s="14" customFormat="1">
      <c r="A142" s="86"/>
    </row>
    <row r="143" spans="1:1" s="14" customFormat="1">
      <c r="A143" s="86"/>
    </row>
    <row r="144" spans="1:1" s="14" customFormat="1">
      <c r="A144" s="86"/>
    </row>
    <row r="145" spans="1:1" s="14" customFormat="1">
      <c r="A145" s="86"/>
    </row>
    <row r="146" spans="1:1" s="14" customFormat="1">
      <c r="A146" s="86"/>
    </row>
    <row r="147" spans="1:1" s="14" customFormat="1">
      <c r="A147" s="86"/>
    </row>
    <row r="148" spans="1:1" s="14" customFormat="1">
      <c r="A148" s="86"/>
    </row>
    <row r="149" spans="1:1" s="14" customFormat="1">
      <c r="A149" s="86"/>
    </row>
    <row r="150" spans="1:1" s="14" customFormat="1">
      <c r="A150" s="86"/>
    </row>
    <row r="151" spans="1:1" s="14" customFormat="1">
      <c r="A151" s="86"/>
    </row>
    <row r="152" spans="1:1" s="14" customFormat="1">
      <c r="A152" s="86"/>
    </row>
    <row r="153" spans="1:1" s="14" customFormat="1">
      <c r="A153" s="86"/>
    </row>
    <row r="154" spans="1:1" s="14" customFormat="1">
      <c r="A154" s="86"/>
    </row>
    <row r="155" spans="1:1" s="14" customFormat="1">
      <c r="A155" s="86"/>
    </row>
    <row r="156" spans="1:1" s="14" customFormat="1">
      <c r="A156" s="86"/>
    </row>
    <row r="157" spans="1:1" s="14" customFormat="1">
      <c r="A157" s="86"/>
    </row>
    <row r="158" spans="1:1" s="14" customFormat="1">
      <c r="A158" s="86"/>
    </row>
    <row r="159" spans="1:1" s="14" customFormat="1">
      <c r="A159" s="86"/>
    </row>
    <row r="160" spans="1:1" s="14" customFormat="1">
      <c r="A160" s="86"/>
    </row>
    <row r="161" spans="1:1" s="14" customFormat="1">
      <c r="A161" s="86"/>
    </row>
    <row r="162" spans="1:1" s="14" customFormat="1">
      <c r="A162" s="86"/>
    </row>
    <row r="163" spans="1:1" s="14" customFormat="1">
      <c r="A163" s="86"/>
    </row>
    <row r="164" spans="1:1" s="14" customFormat="1">
      <c r="A164" s="86"/>
    </row>
    <row r="165" spans="1:1" s="14" customFormat="1">
      <c r="A165" s="86"/>
    </row>
    <row r="166" spans="1:1" s="14" customFormat="1">
      <c r="A166" s="86"/>
    </row>
    <row r="167" spans="1:1" s="14" customFormat="1">
      <c r="A167" s="86"/>
    </row>
    <row r="168" spans="1:1" s="14" customFormat="1">
      <c r="A168" s="86"/>
    </row>
    <row r="169" spans="1:1" s="14" customFormat="1">
      <c r="A169" s="86"/>
    </row>
    <row r="170" spans="1:1" s="14" customFormat="1">
      <c r="A170" s="86"/>
    </row>
    <row r="171" spans="1:1" s="14" customFormat="1">
      <c r="A171" s="86"/>
    </row>
    <row r="172" spans="1:1" s="14" customFormat="1">
      <c r="A172" s="86"/>
    </row>
    <row r="173" spans="1:1" s="14" customFormat="1">
      <c r="A173" s="86"/>
    </row>
    <row r="174" spans="1:1" s="14" customFormat="1">
      <c r="A174" s="86"/>
    </row>
    <row r="175" spans="1:1" s="14" customFormat="1">
      <c r="A175" s="86"/>
    </row>
    <row r="176" spans="1:1" s="14" customFormat="1">
      <c r="A176" s="86"/>
    </row>
    <row r="177" spans="1:1" s="14" customFormat="1">
      <c r="A177" s="86"/>
    </row>
    <row r="178" spans="1:1" s="14" customFormat="1">
      <c r="A178" s="86"/>
    </row>
    <row r="179" spans="1:1" s="14" customFormat="1">
      <c r="A179" s="86"/>
    </row>
    <row r="180" spans="1:1" s="14" customFormat="1">
      <c r="A180" s="86"/>
    </row>
    <row r="181" spans="1:1" s="14" customFormat="1">
      <c r="A181" s="86"/>
    </row>
    <row r="182" spans="1:1" s="14" customFormat="1">
      <c r="A182" s="86"/>
    </row>
    <row r="183" spans="1:1" s="14" customFormat="1">
      <c r="A183" s="86"/>
    </row>
    <row r="184" spans="1:1" s="14" customFormat="1">
      <c r="A184" s="86"/>
    </row>
    <row r="185" spans="1:1" s="14" customFormat="1">
      <c r="A185" s="86"/>
    </row>
    <row r="186" spans="1:1" s="14" customFormat="1">
      <c r="A186" s="86"/>
    </row>
    <row r="187" spans="1:1" s="14" customFormat="1">
      <c r="A187" s="86"/>
    </row>
    <row r="188" spans="1:1" s="14" customFormat="1">
      <c r="A188" s="86"/>
    </row>
    <row r="189" spans="1:1" s="14" customFormat="1">
      <c r="A189" s="86"/>
    </row>
    <row r="190" spans="1:1" s="14" customFormat="1">
      <c r="A190" s="86"/>
    </row>
    <row r="191" spans="1:1" s="14" customFormat="1">
      <c r="A191" s="86"/>
    </row>
    <row r="192" spans="1:1" s="14" customFormat="1">
      <c r="A192" s="86"/>
    </row>
    <row r="193" spans="1:1" s="14" customFormat="1">
      <c r="A193" s="86"/>
    </row>
    <row r="194" spans="1:1" s="14" customFormat="1">
      <c r="A194" s="86"/>
    </row>
    <row r="195" spans="1:1" s="14" customFormat="1">
      <c r="A195" s="86"/>
    </row>
    <row r="196" spans="1:1" s="14" customFormat="1">
      <c r="A196" s="86"/>
    </row>
    <row r="197" spans="1:1" s="14" customFormat="1">
      <c r="A197" s="86"/>
    </row>
    <row r="198" spans="1:1" s="14" customFormat="1">
      <c r="A198" s="86"/>
    </row>
    <row r="199" spans="1:1" s="14" customFormat="1">
      <c r="A199" s="86"/>
    </row>
    <row r="200" spans="1:1" s="14" customFormat="1">
      <c r="A200" s="86"/>
    </row>
  </sheetData>
  <mergeCells count="4">
    <mergeCell ref="B1:L1"/>
    <mergeCell ref="B2:L2"/>
    <mergeCell ref="I3:J3"/>
    <mergeCell ref="K3:L3"/>
  </mergeCells>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3FAF-1F9F-44B1-802A-793384C57069}">
  <sheetPr>
    <tabColor theme="5" tint="0.39997558519241921"/>
  </sheetPr>
  <dimension ref="A1:AD61"/>
  <sheetViews>
    <sheetView topLeftCell="A29" zoomScaleNormal="100" workbookViewId="0">
      <selection activeCell="AC48" activeCellId="13" sqref="C48 E48 G48 I48 K48 M48 O48 Q48 S48 U48 W48 Y48 AA48 AC48"/>
    </sheetView>
  </sheetViews>
  <sheetFormatPr defaultColWidth="8" defaultRowHeight="12.75"/>
  <cols>
    <col min="1" max="1" width="12.42578125" style="171" customWidth="1"/>
    <col min="2" max="2" width="3" style="171" customWidth="1"/>
    <col min="3" max="3" width="12.28515625" style="171" bestFit="1" customWidth="1"/>
    <col min="4" max="4" width="1.5703125" style="171" customWidth="1"/>
    <col min="5" max="5" width="12.28515625" style="171" bestFit="1" customWidth="1"/>
    <col min="6" max="6" width="1.5703125" style="171" customWidth="1"/>
    <col min="7" max="7" width="13.42578125" style="171" bestFit="1" customWidth="1"/>
    <col min="8" max="8" width="1.85546875" style="171" customWidth="1"/>
    <col min="9" max="9" width="13.42578125" style="171" bestFit="1" customWidth="1"/>
    <col min="10" max="10" width="1.85546875" style="171" customWidth="1"/>
    <col min="11" max="11" width="13.7109375" style="171" bestFit="1" customWidth="1"/>
    <col min="12" max="12" width="1.5703125" style="171" customWidth="1"/>
    <col min="13" max="13" width="14.28515625" style="171" bestFit="1" customWidth="1"/>
    <col min="14" max="14" width="1.5703125" style="171" customWidth="1"/>
    <col min="15" max="15" width="13.7109375" style="171" bestFit="1" customWidth="1"/>
    <col min="16" max="16" width="1.140625" style="171" customWidth="1"/>
    <col min="17" max="17" width="14.28515625" style="171" bestFit="1" customWidth="1"/>
    <col min="18" max="18" width="1.5703125" style="171" customWidth="1"/>
    <col min="19" max="19" width="14.28515625" style="171" bestFit="1" customWidth="1"/>
    <col min="20" max="20" width="1.5703125" style="171" customWidth="1"/>
    <col min="21" max="21" width="14.7109375" style="171" bestFit="1" customWidth="1"/>
    <col min="22" max="22" width="2.140625" style="171" customWidth="1"/>
    <col min="23" max="23" width="14.7109375" style="171" bestFit="1" customWidth="1"/>
    <col min="24" max="24" width="3" style="171" customWidth="1"/>
    <col min="25" max="25" width="13.7109375" style="171" bestFit="1" customWidth="1"/>
    <col min="26" max="26" width="1.5703125" style="171" customWidth="1"/>
    <col min="27" max="27" width="14.7109375" style="171" bestFit="1" customWidth="1"/>
    <col min="28" max="28" width="1.5703125" style="171" customWidth="1"/>
    <col min="29" max="29" width="14.7109375" style="171" bestFit="1" customWidth="1"/>
    <col min="30" max="30" width="10.85546875" style="171" customWidth="1"/>
    <col min="31" max="16384" width="8" style="171"/>
  </cols>
  <sheetData>
    <row r="1" spans="1:29" ht="15.75">
      <c r="A1" s="205" t="s">
        <v>100</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row>
    <row r="2" spans="1:29" ht="15.75">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1:29" ht="15.75">
      <c r="A3" s="193"/>
      <c r="B3" s="193"/>
      <c r="C3" s="194" t="s">
        <v>87</v>
      </c>
      <c r="D3" s="194"/>
      <c r="E3" s="194"/>
      <c r="F3" s="194"/>
      <c r="G3" s="194"/>
      <c r="H3" s="194"/>
      <c r="I3" s="194"/>
      <c r="K3" s="194" t="s">
        <v>86</v>
      </c>
      <c r="L3" s="195"/>
      <c r="M3" s="195"/>
      <c r="N3" s="194"/>
      <c r="O3" s="194"/>
      <c r="P3" s="194"/>
      <c r="Q3" s="194"/>
      <c r="R3" s="193"/>
      <c r="S3" s="194"/>
      <c r="T3" s="194"/>
      <c r="U3" s="194"/>
      <c r="V3" s="194"/>
      <c r="W3" s="194"/>
      <c r="X3" s="194"/>
      <c r="Y3" s="194"/>
      <c r="Z3" s="194"/>
      <c r="AA3" s="194"/>
      <c r="AB3" s="194"/>
      <c r="AC3" s="193"/>
    </row>
    <row r="4" spans="1:29">
      <c r="C4" s="192"/>
      <c r="D4" s="191"/>
      <c r="E4" s="191"/>
      <c r="F4" s="191"/>
      <c r="G4" s="191"/>
      <c r="H4" s="191"/>
      <c r="O4" s="192"/>
      <c r="P4" s="191"/>
      <c r="Q4" s="191"/>
      <c r="R4" s="191"/>
      <c r="S4" s="191"/>
      <c r="T4" s="191"/>
      <c r="U4" s="191"/>
      <c r="V4" s="191"/>
      <c r="W4" s="191"/>
      <c r="X4" s="191"/>
      <c r="Y4" s="191"/>
      <c r="Z4" s="191"/>
    </row>
    <row r="5" spans="1:29" s="188" customFormat="1" ht="15">
      <c r="A5" s="171" t="s">
        <v>40</v>
      </c>
      <c r="C5" s="190">
        <v>9870000</v>
      </c>
      <c r="D5" s="189"/>
      <c r="E5" s="189"/>
      <c r="F5" s="173"/>
      <c r="G5" s="219">
        <v>58015000</v>
      </c>
      <c r="H5" s="220"/>
      <c r="I5" s="220"/>
      <c r="K5" s="219">
        <v>151650345</v>
      </c>
      <c r="L5" s="220"/>
      <c r="M5" s="220"/>
      <c r="O5" s="190">
        <v>63884707</v>
      </c>
      <c r="P5" s="189"/>
      <c r="Q5" s="189"/>
      <c r="R5" s="189"/>
      <c r="S5" s="173"/>
      <c r="T5" s="173"/>
      <c r="U5" s="173"/>
      <c r="V5" s="173"/>
      <c r="W5" s="173"/>
      <c r="X5" s="173"/>
      <c r="Y5"/>
      <c r="Z5"/>
      <c r="AA5"/>
      <c r="AB5"/>
      <c r="AC5"/>
    </row>
    <row r="6" spans="1:29" ht="15">
      <c r="C6" s="182" t="s">
        <v>61</v>
      </c>
      <c r="D6" s="182"/>
      <c r="E6" s="182"/>
      <c r="F6" s="173"/>
      <c r="G6" s="182" t="s">
        <v>62</v>
      </c>
      <c r="H6" s="182"/>
      <c r="I6" s="182"/>
      <c r="K6" s="182" t="s">
        <v>85</v>
      </c>
      <c r="L6" s="182"/>
      <c r="M6" s="182"/>
      <c r="N6" s="182"/>
      <c r="O6" s="182" t="s">
        <v>84</v>
      </c>
      <c r="P6" s="182"/>
      <c r="Q6" s="182"/>
      <c r="R6" s="189"/>
      <c r="S6" s="173"/>
      <c r="T6" s="173"/>
      <c r="U6" s="182" t="s">
        <v>39</v>
      </c>
      <c r="V6" s="182"/>
      <c r="W6" s="182"/>
      <c r="X6" s="173"/>
      <c r="Y6"/>
      <c r="Z6"/>
      <c r="AA6"/>
      <c r="AB6"/>
      <c r="AC6"/>
    </row>
    <row r="7" spans="1:29" ht="12.6" customHeight="1">
      <c r="A7" s="178" t="s">
        <v>38</v>
      </c>
      <c r="C7" s="178" t="s">
        <v>2</v>
      </c>
      <c r="D7" s="178"/>
      <c r="E7" s="178" t="s">
        <v>3</v>
      </c>
      <c r="F7" s="173"/>
      <c r="G7" s="178" t="s">
        <v>2</v>
      </c>
      <c r="H7" s="178"/>
      <c r="I7" s="178" t="s">
        <v>3</v>
      </c>
      <c r="K7" s="178" t="s">
        <v>2</v>
      </c>
      <c r="M7" s="187" t="s">
        <v>3</v>
      </c>
      <c r="N7" s="178"/>
      <c r="O7" s="178" t="s">
        <v>2</v>
      </c>
      <c r="P7" s="178"/>
      <c r="Q7" s="187" t="s">
        <v>3</v>
      </c>
      <c r="R7" s="178"/>
      <c r="S7" s="173"/>
      <c r="T7" s="173"/>
      <c r="U7" s="178" t="s">
        <v>2</v>
      </c>
      <c r="V7" s="178"/>
      <c r="W7" s="178" t="s">
        <v>3</v>
      </c>
      <c r="X7" s="178"/>
      <c r="Y7"/>
      <c r="Z7"/>
      <c r="AA7"/>
      <c r="AB7"/>
      <c r="AC7"/>
    </row>
    <row r="8" spans="1:29" ht="12.6" customHeight="1">
      <c r="A8" s="178"/>
      <c r="C8" s="202"/>
      <c r="D8" s="151"/>
      <c r="E8" s="202"/>
      <c r="F8" s="151"/>
      <c r="G8" s="202"/>
      <c r="H8" s="151"/>
      <c r="I8" s="202"/>
      <c r="J8" s="202"/>
      <c r="K8" s="204"/>
      <c r="L8" s="172"/>
      <c r="M8" s="204"/>
      <c r="N8" s="202"/>
      <c r="O8" s="204"/>
      <c r="P8" s="172"/>
      <c r="Q8" s="204"/>
      <c r="R8" s="202"/>
      <c r="S8" s="202"/>
      <c r="T8" s="202"/>
      <c r="U8" s="202"/>
      <c r="V8" s="202"/>
      <c r="W8" s="202"/>
      <c r="Y8"/>
      <c r="Z8"/>
      <c r="AA8"/>
      <c r="AB8"/>
      <c r="AC8"/>
    </row>
    <row r="9" spans="1:29" ht="15">
      <c r="A9" s="178">
        <v>2025</v>
      </c>
      <c r="B9" s="171">
        <v>1</v>
      </c>
      <c r="C9" s="202">
        <v>0</v>
      </c>
      <c r="D9" s="151"/>
      <c r="E9" s="202">
        <v>369000</v>
      </c>
      <c r="F9" s="151"/>
      <c r="G9" s="202">
        <v>2345000</v>
      </c>
      <c r="H9" s="151"/>
      <c r="I9" s="204">
        <v>1256904</v>
      </c>
      <c r="K9" s="204">
        <v>0</v>
      </c>
      <c r="L9" s="172"/>
      <c r="M9" s="204">
        <f t="shared" ref="M9:M12" si="0">1647950+1647950</f>
        <v>3295900</v>
      </c>
      <c r="N9" s="172"/>
      <c r="O9" s="204">
        <v>0</v>
      </c>
      <c r="P9" s="172"/>
      <c r="Q9" s="204">
        <f t="shared" ref="Q9:Q12" si="1">739175+739175</f>
        <v>1478350</v>
      </c>
      <c r="R9" s="172"/>
      <c r="S9" s="172"/>
      <c r="T9" s="172"/>
      <c r="U9" s="204">
        <f t="shared" ref="U9:U40" si="2">+C9+G9+K9+O9</f>
        <v>2345000</v>
      </c>
      <c r="V9" s="172"/>
      <c r="W9" s="204">
        <f t="shared" ref="W9:W40" si="3">E9+I9+M9+Q9</f>
        <v>6400154</v>
      </c>
      <c r="X9" s="171">
        <v>1</v>
      </c>
      <c r="Y9"/>
      <c r="Z9"/>
      <c r="AA9"/>
      <c r="AB9"/>
      <c r="AC9"/>
    </row>
    <row r="10" spans="1:29" ht="15.6" customHeight="1">
      <c r="A10" s="178">
        <f t="shared" ref="A10:A40" si="4">A9+1</f>
        <v>2026</v>
      </c>
      <c r="B10" s="171">
        <v>2</v>
      </c>
      <c r="C10" s="151">
        <v>0</v>
      </c>
      <c r="D10" s="151"/>
      <c r="E10" s="151">
        <v>369000</v>
      </c>
      <c r="F10" s="151"/>
      <c r="G10" s="151">
        <v>2365000</v>
      </c>
      <c r="H10" s="151"/>
      <c r="I10" s="172">
        <v>1231954</v>
      </c>
      <c r="K10" s="172">
        <v>0</v>
      </c>
      <c r="L10" s="172"/>
      <c r="M10" s="172">
        <f t="shared" si="0"/>
        <v>3295900</v>
      </c>
      <c r="N10" s="172"/>
      <c r="O10" s="172">
        <v>0</v>
      </c>
      <c r="P10" s="172"/>
      <c r="Q10" s="172">
        <f t="shared" si="1"/>
        <v>1478350</v>
      </c>
      <c r="R10" s="172"/>
      <c r="S10" s="172"/>
      <c r="T10" s="172"/>
      <c r="U10" s="172">
        <f t="shared" si="2"/>
        <v>2365000</v>
      </c>
      <c r="V10" s="172"/>
      <c r="W10" s="172">
        <f t="shared" si="3"/>
        <v>6375204</v>
      </c>
      <c r="X10" s="171">
        <v>2</v>
      </c>
      <c r="Y10"/>
      <c r="Z10"/>
      <c r="AA10"/>
      <c r="AB10"/>
      <c r="AC10"/>
    </row>
    <row r="11" spans="1:29" ht="15">
      <c r="A11" s="178">
        <f t="shared" si="4"/>
        <v>2027</v>
      </c>
      <c r="B11" s="171">
        <v>3</v>
      </c>
      <c r="C11" s="151">
        <v>0</v>
      </c>
      <c r="D11" s="151"/>
      <c r="E11" s="151">
        <v>369000</v>
      </c>
      <c r="F11" s="151"/>
      <c r="G11" s="151">
        <v>2400000</v>
      </c>
      <c r="H11" s="151"/>
      <c r="I11" s="172">
        <v>1199695</v>
      </c>
      <c r="K11" s="172">
        <v>0</v>
      </c>
      <c r="L11" s="172"/>
      <c r="M11" s="172">
        <f t="shared" si="0"/>
        <v>3295900</v>
      </c>
      <c r="N11" s="172"/>
      <c r="O11" s="172">
        <v>0</v>
      </c>
      <c r="P11" s="172"/>
      <c r="Q11" s="172">
        <f t="shared" si="1"/>
        <v>1478350</v>
      </c>
      <c r="R11" s="172"/>
      <c r="S11" s="172"/>
      <c r="T11" s="172"/>
      <c r="U11" s="172">
        <f t="shared" si="2"/>
        <v>2400000</v>
      </c>
      <c r="V11" s="172"/>
      <c r="W11" s="172">
        <f t="shared" si="3"/>
        <v>6342945</v>
      </c>
      <c r="X11" s="171">
        <v>3</v>
      </c>
      <c r="Y11"/>
      <c r="Z11"/>
      <c r="AA11"/>
      <c r="AB11"/>
      <c r="AC11"/>
    </row>
    <row r="12" spans="1:29" ht="15">
      <c r="A12" s="178">
        <f t="shared" si="4"/>
        <v>2028</v>
      </c>
      <c r="B12" s="171">
        <v>4</v>
      </c>
      <c r="C12" s="151">
        <v>0</v>
      </c>
      <c r="D12" s="151"/>
      <c r="E12" s="151">
        <v>369000</v>
      </c>
      <c r="F12" s="151"/>
      <c r="G12" s="151">
        <v>2435000</v>
      </c>
      <c r="H12" s="151"/>
      <c r="I12" s="172">
        <v>1164559</v>
      </c>
      <c r="K12" s="172">
        <v>800000</v>
      </c>
      <c r="L12" s="172"/>
      <c r="M12" s="172">
        <f t="shared" si="0"/>
        <v>3295900</v>
      </c>
      <c r="N12" s="172"/>
      <c r="O12" s="172">
        <v>240000</v>
      </c>
      <c r="P12" s="172"/>
      <c r="Q12" s="172">
        <f t="shared" si="1"/>
        <v>1478350</v>
      </c>
      <c r="R12" s="172"/>
      <c r="S12" s="172"/>
      <c r="T12" s="172"/>
      <c r="U12" s="172">
        <f t="shared" si="2"/>
        <v>3475000</v>
      </c>
      <c r="V12" s="172"/>
      <c r="W12" s="172">
        <f t="shared" si="3"/>
        <v>6307809</v>
      </c>
      <c r="X12" s="171">
        <v>4</v>
      </c>
      <c r="Y12"/>
      <c r="Z12"/>
      <c r="AA12"/>
      <c r="AB12"/>
      <c r="AC12"/>
    </row>
    <row r="13" spans="1:29" ht="15">
      <c r="A13" s="178">
        <f t="shared" si="4"/>
        <v>2029</v>
      </c>
      <c r="B13" s="171">
        <v>5</v>
      </c>
      <c r="C13" s="151">
        <v>0</v>
      </c>
      <c r="D13" s="151"/>
      <c r="E13" s="151">
        <v>369000</v>
      </c>
      <c r="F13" s="151"/>
      <c r="G13" s="151">
        <v>2475000</v>
      </c>
      <c r="H13" s="151"/>
      <c r="I13" s="172">
        <v>1123602</v>
      </c>
      <c r="K13" s="172">
        <v>1600000</v>
      </c>
      <c r="L13" s="172"/>
      <c r="M13" s="172">
        <f>1627950+1627950</f>
        <v>3255900</v>
      </c>
      <c r="N13" s="172"/>
      <c r="O13" s="172">
        <v>475000</v>
      </c>
      <c r="P13" s="172"/>
      <c r="Q13" s="172">
        <f>733175+733175</f>
        <v>1466350</v>
      </c>
      <c r="R13" s="172"/>
      <c r="S13" s="172"/>
      <c r="T13" s="172"/>
      <c r="U13" s="172">
        <f t="shared" si="2"/>
        <v>4550000</v>
      </c>
      <c r="V13" s="172"/>
      <c r="W13" s="172">
        <f t="shared" si="3"/>
        <v>6214852</v>
      </c>
      <c r="X13" s="171">
        <v>5</v>
      </c>
      <c r="Y13"/>
      <c r="Z13"/>
      <c r="AA13"/>
      <c r="AB13"/>
      <c r="AC13"/>
    </row>
    <row r="14" spans="1:29" ht="15">
      <c r="A14" s="178">
        <f t="shared" si="4"/>
        <v>2030</v>
      </c>
      <c r="B14" s="171">
        <v>6</v>
      </c>
      <c r="C14" s="151">
        <v>0</v>
      </c>
      <c r="D14" s="151"/>
      <c r="E14" s="151">
        <v>369000</v>
      </c>
      <c r="F14" s="151"/>
      <c r="G14" s="151">
        <v>2520000</v>
      </c>
      <c r="H14" s="151"/>
      <c r="I14" s="172">
        <v>1079498</v>
      </c>
      <c r="K14" s="172">
        <v>2600000</v>
      </c>
      <c r="L14" s="172"/>
      <c r="M14" s="172">
        <f>1587950+1587950</f>
        <v>3175900</v>
      </c>
      <c r="N14" s="172"/>
      <c r="O14" s="172">
        <v>960000</v>
      </c>
      <c r="P14" s="172"/>
      <c r="Q14" s="172">
        <f>721300+721300</f>
        <v>1442600</v>
      </c>
      <c r="R14" s="172"/>
      <c r="S14" s="172"/>
      <c r="T14" s="172"/>
      <c r="U14" s="172">
        <f t="shared" si="2"/>
        <v>6080000</v>
      </c>
      <c r="V14" s="172"/>
      <c r="W14" s="172">
        <f t="shared" si="3"/>
        <v>6066998</v>
      </c>
      <c r="X14" s="171">
        <v>6</v>
      </c>
      <c r="Y14"/>
      <c r="Z14"/>
      <c r="AA14"/>
      <c r="AB14"/>
      <c r="AC14"/>
    </row>
    <row r="15" spans="1:29" ht="15">
      <c r="A15" s="178">
        <f t="shared" si="4"/>
        <v>2031</v>
      </c>
      <c r="B15" s="171">
        <v>7</v>
      </c>
      <c r="C15" s="151">
        <v>0</v>
      </c>
      <c r="D15" s="151"/>
      <c r="E15" s="151">
        <v>369000</v>
      </c>
      <c r="F15" s="151"/>
      <c r="G15" s="151">
        <v>2570000</v>
      </c>
      <c r="H15" s="151"/>
      <c r="I15" s="172">
        <v>1032071</v>
      </c>
      <c r="K15" s="172">
        <v>3435000</v>
      </c>
      <c r="L15" s="172"/>
      <c r="M15" s="172">
        <f>1522950+1522950</f>
        <v>3045900</v>
      </c>
      <c r="N15" s="172"/>
      <c r="O15" s="172">
        <v>1475000</v>
      </c>
      <c r="P15" s="172"/>
      <c r="Q15" s="172">
        <f>697300+697300</f>
        <v>1394600</v>
      </c>
      <c r="R15" s="172"/>
      <c r="S15" s="172"/>
      <c r="T15" s="172"/>
      <c r="U15" s="172">
        <f t="shared" si="2"/>
        <v>7480000</v>
      </c>
      <c r="V15" s="172"/>
      <c r="W15" s="172">
        <f t="shared" si="3"/>
        <v>5841571</v>
      </c>
      <c r="X15" s="171">
        <v>7</v>
      </c>
      <c r="Y15"/>
      <c r="Z15"/>
      <c r="AA15"/>
      <c r="AB15"/>
      <c r="AC15"/>
    </row>
    <row r="16" spans="1:29" ht="15">
      <c r="A16" s="178">
        <f t="shared" si="4"/>
        <v>2032</v>
      </c>
      <c r="B16" s="171">
        <v>8</v>
      </c>
      <c r="C16" s="151">
        <v>0</v>
      </c>
      <c r="D16" s="151"/>
      <c r="E16" s="151">
        <v>369000</v>
      </c>
      <c r="F16" s="151"/>
      <c r="G16" s="151">
        <v>2625000</v>
      </c>
      <c r="H16" s="151"/>
      <c r="I16" s="172">
        <v>981134</v>
      </c>
      <c r="K16" s="172">
        <v>3895000</v>
      </c>
      <c r="L16" s="172"/>
      <c r="M16" s="172">
        <f>1437075+1437075</f>
        <v>2874150</v>
      </c>
      <c r="N16" s="172"/>
      <c r="O16" s="172">
        <v>1750000</v>
      </c>
      <c r="P16" s="172"/>
      <c r="Q16" s="172">
        <f>660425+660425</f>
        <v>1320850</v>
      </c>
      <c r="R16" s="172"/>
      <c r="S16" s="172"/>
      <c r="T16" s="172"/>
      <c r="U16" s="172">
        <f t="shared" si="2"/>
        <v>8270000</v>
      </c>
      <c r="V16" s="172"/>
      <c r="W16" s="172">
        <f t="shared" si="3"/>
        <v>5545134</v>
      </c>
      <c r="X16" s="171">
        <v>8</v>
      </c>
      <c r="Y16"/>
      <c r="Z16"/>
      <c r="AA16"/>
      <c r="AB16"/>
      <c r="AC16"/>
    </row>
    <row r="17" spans="1:30" ht="15">
      <c r="A17" s="178">
        <f t="shared" si="4"/>
        <v>2033</v>
      </c>
      <c r="B17" s="171">
        <v>9</v>
      </c>
      <c r="C17" s="151">
        <v>0</v>
      </c>
      <c r="D17" s="151"/>
      <c r="E17" s="151">
        <v>369000</v>
      </c>
      <c r="F17" s="151"/>
      <c r="G17" s="151">
        <v>2670000</v>
      </c>
      <c r="H17" s="151"/>
      <c r="I17" s="172">
        <v>926482</v>
      </c>
      <c r="K17" s="172">
        <v>4395000</v>
      </c>
      <c r="L17" s="172"/>
      <c r="M17" s="172">
        <f>1339700+1339700</f>
        <v>2679400</v>
      </c>
      <c r="N17" s="172"/>
      <c r="O17" s="172">
        <v>1990000</v>
      </c>
      <c r="P17" s="172"/>
      <c r="Q17" s="172">
        <f>616675+616675</f>
        <v>1233350</v>
      </c>
      <c r="R17" s="172"/>
      <c r="S17" s="172"/>
      <c r="T17" s="172"/>
      <c r="U17" s="172">
        <f t="shared" si="2"/>
        <v>9055000</v>
      </c>
      <c r="V17" s="172"/>
      <c r="W17" s="172">
        <f t="shared" si="3"/>
        <v>5208232</v>
      </c>
      <c r="X17" s="171">
        <v>9</v>
      </c>
      <c r="Y17"/>
      <c r="Z17"/>
      <c r="AA17"/>
      <c r="AB17"/>
      <c r="AC17"/>
    </row>
    <row r="18" spans="1:30" ht="15">
      <c r="A18" s="178">
        <f t="shared" si="4"/>
        <v>2034</v>
      </c>
      <c r="B18" s="171">
        <v>10</v>
      </c>
      <c r="C18" s="151">
        <v>0</v>
      </c>
      <c r="D18" s="151"/>
      <c r="E18" s="151">
        <v>369000</v>
      </c>
      <c r="F18" s="151"/>
      <c r="G18" s="151">
        <v>2730000</v>
      </c>
      <c r="H18" s="151"/>
      <c r="I18" s="172">
        <v>869557</v>
      </c>
      <c r="K18" s="172">
        <v>4925000</v>
      </c>
      <c r="L18" s="172"/>
      <c r="M18" s="172">
        <f>1229825+1229825</f>
        <v>2459650</v>
      </c>
      <c r="N18" s="172"/>
      <c r="O18" s="172">
        <v>2225000</v>
      </c>
      <c r="P18" s="172"/>
      <c r="Q18" s="172">
        <f>566925+566925</f>
        <v>1133850</v>
      </c>
      <c r="R18" s="172"/>
      <c r="S18" s="172"/>
      <c r="T18" s="172"/>
      <c r="U18" s="172">
        <f t="shared" si="2"/>
        <v>9880000</v>
      </c>
      <c r="V18" s="172"/>
      <c r="W18" s="172">
        <f t="shared" si="3"/>
        <v>4832057</v>
      </c>
      <c r="X18" s="171">
        <v>10</v>
      </c>
      <c r="Y18"/>
      <c r="Z18"/>
      <c r="AA18"/>
      <c r="AB18"/>
      <c r="AC18"/>
    </row>
    <row r="19" spans="1:30" ht="15">
      <c r="A19" s="178">
        <f t="shared" si="4"/>
        <v>2035</v>
      </c>
      <c r="B19" s="171">
        <v>11</v>
      </c>
      <c r="C19" s="151">
        <v>0</v>
      </c>
      <c r="D19" s="151"/>
      <c r="E19" s="151">
        <v>369000</v>
      </c>
      <c r="F19" s="151"/>
      <c r="G19" s="151">
        <v>2795000</v>
      </c>
      <c r="H19" s="151"/>
      <c r="I19" s="172">
        <v>808624</v>
      </c>
      <c r="K19" s="172">
        <v>5540000</v>
      </c>
      <c r="L19" s="172"/>
      <c r="M19" s="172">
        <f>1106700+1106700</f>
        <v>2213400</v>
      </c>
      <c r="N19" s="172"/>
      <c r="O19" s="172">
        <v>2560000</v>
      </c>
      <c r="P19" s="172"/>
      <c r="Q19" s="172">
        <f>511300+511300</f>
        <v>1022600</v>
      </c>
      <c r="R19" s="172"/>
      <c r="S19" s="172"/>
      <c r="T19" s="172"/>
      <c r="U19" s="172">
        <f t="shared" si="2"/>
        <v>10895000</v>
      </c>
      <c r="V19" s="172"/>
      <c r="W19" s="172">
        <f t="shared" si="3"/>
        <v>4413624</v>
      </c>
      <c r="X19" s="171">
        <v>11</v>
      </c>
      <c r="Y19"/>
      <c r="Z19"/>
      <c r="AA19"/>
      <c r="AB19"/>
      <c r="AC19"/>
    </row>
    <row r="20" spans="1:30" ht="15">
      <c r="A20" s="178">
        <f t="shared" si="4"/>
        <v>2036</v>
      </c>
      <c r="B20" s="171">
        <v>12</v>
      </c>
      <c r="C20" s="151">
        <v>0</v>
      </c>
      <c r="D20" s="151"/>
      <c r="E20" s="151">
        <v>369000</v>
      </c>
      <c r="F20" s="151"/>
      <c r="G20" s="151">
        <v>2855000</v>
      </c>
      <c r="H20" s="151"/>
      <c r="I20" s="172">
        <v>743724</v>
      </c>
      <c r="K20" s="172">
        <v>6160000</v>
      </c>
      <c r="L20" s="172"/>
      <c r="M20" s="172">
        <f>968200+968200</f>
        <v>1936400</v>
      </c>
      <c r="N20" s="172"/>
      <c r="O20" s="172">
        <v>2820000</v>
      </c>
      <c r="P20" s="172"/>
      <c r="Q20" s="172">
        <f>447300+447300</f>
        <v>894600</v>
      </c>
      <c r="R20" s="172"/>
      <c r="S20" s="172"/>
      <c r="T20" s="172"/>
      <c r="U20" s="172">
        <f t="shared" si="2"/>
        <v>11835000</v>
      </c>
      <c r="V20" s="172"/>
      <c r="W20" s="172">
        <f t="shared" si="3"/>
        <v>3943724</v>
      </c>
      <c r="X20" s="171">
        <v>12</v>
      </c>
      <c r="Y20"/>
      <c r="Z20"/>
      <c r="AA20"/>
      <c r="AB20"/>
      <c r="AC20"/>
      <c r="AD20" s="172"/>
    </row>
    <row r="21" spans="1:30" ht="15">
      <c r="A21" s="178">
        <f t="shared" si="4"/>
        <v>2037</v>
      </c>
      <c r="B21" s="171">
        <v>13</v>
      </c>
      <c r="C21" s="151">
        <v>0</v>
      </c>
      <c r="D21" s="151"/>
      <c r="E21" s="151">
        <v>369000</v>
      </c>
      <c r="F21" s="151"/>
      <c r="G21" s="151">
        <v>2940000</v>
      </c>
      <c r="H21" s="151"/>
      <c r="I21" s="172">
        <v>660586</v>
      </c>
      <c r="K21" s="172">
        <v>6745000</v>
      </c>
      <c r="L21" s="172"/>
      <c r="M21" s="172">
        <f>814200+814200</f>
        <v>1628400</v>
      </c>
      <c r="N21" s="172"/>
      <c r="O21" s="172">
        <v>3120000</v>
      </c>
      <c r="P21" s="172"/>
      <c r="Q21" s="172">
        <f>376800+376800</f>
        <v>753600</v>
      </c>
      <c r="R21" s="172"/>
      <c r="S21" s="172"/>
      <c r="T21" s="172"/>
      <c r="U21" s="172">
        <f t="shared" si="2"/>
        <v>12805000</v>
      </c>
      <c r="V21" s="172"/>
      <c r="W21" s="172">
        <f t="shared" si="3"/>
        <v>3411586</v>
      </c>
      <c r="X21" s="171">
        <v>13</v>
      </c>
      <c r="Y21"/>
      <c r="Z21"/>
      <c r="AA21"/>
      <c r="AB21"/>
      <c r="AC21"/>
    </row>
    <row r="22" spans="1:30" ht="15">
      <c r="A22" s="178">
        <f t="shared" si="4"/>
        <v>2038</v>
      </c>
      <c r="B22" s="171">
        <v>14</v>
      </c>
      <c r="C22" s="151">
        <v>0</v>
      </c>
      <c r="D22" s="151"/>
      <c r="E22" s="151">
        <v>369000</v>
      </c>
      <c r="F22" s="151"/>
      <c r="G22" s="151">
        <v>3025000</v>
      </c>
      <c r="H22" s="151"/>
      <c r="I22" s="172">
        <v>574973</v>
      </c>
      <c r="K22" s="172">
        <v>7455000</v>
      </c>
      <c r="L22" s="172"/>
      <c r="M22" s="172">
        <f>679300+679300</f>
        <v>1358600</v>
      </c>
      <c r="N22" s="172"/>
      <c r="O22" s="172">
        <v>3475000</v>
      </c>
      <c r="P22" s="172"/>
      <c r="Q22" s="172">
        <f>314400+314400</f>
        <v>628800</v>
      </c>
      <c r="R22" s="172"/>
      <c r="S22" s="172"/>
      <c r="T22" s="172"/>
      <c r="U22" s="172">
        <f t="shared" si="2"/>
        <v>13955000</v>
      </c>
      <c r="V22" s="172"/>
      <c r="W22" s="172">
        <f t="shared" si="3"/>
        <v>2931373</v>
      </c>
      <c r="X22" s="171">
        <v>14</v>
      </c>
      <c r="Y22"/>
      <c r="Z22"/>
      <c r="AA22"/>
      <c r="AB22"/>
      <c r="AC22"/>
    </row>
    <row r="23" spans="1:30" ht="15">
      <c r="A23" s="178">
        <f t="shared" si="4"/>
        <v>2039</v>
      </c>
      <c r="B23" s="171">
        <v>15</v>
      </c>
      <c r="C23" s="151">
        <v>0</v>
      </c>
      <c r="D23" s="151"/>
      <c r="E23" s="151">
        <v>369000</v>
      </c>
      <c r="F23" s="151"/>
      <c r="G23" s="151">
        <v>3115000</v>
      </c>
      <c r="H23" s="151"/>
      <c r="I23" s="172">
        <v>486885</v>
      </c>
      <c r="K23" s="172">
        <v>8090000</v>
      </c>
      <c r="L23" s="172"/>
      <c r="M23" s="172">
        <f>530200+530200</f>
        <v>1060400</v>
      </c>
      <c r="N23" s="172"/>
      <c r="O23" s="172">
        <v>3755000</v>
      </c>
      <c r="P23" s="172"/>
      <c r="Q23" s="172">
        <f>244900+244900</f>
        <v>489800</v>
      </c>
      <c r="R23" s="172"/>
      <c r="S23" s="172"/>
      <c r="T23" s="172"/>
      <c r="U23" s="172">
        <f t="shared" si="2"/>
        <v>14960000</v>
      </c>
      <c r="V23" s="172"/>
      <c r="W23" s="172">
        <f t="shared" si="3"/>
        <v>2406085</v>
      </c>
      <c r="X23" s="171">
        <v>15</v>
      </c>
      <c r="Y23"/>
      <c r="Z23"/>
      <c r="AA23"/>
      <c r="AB23"/>
      <c r="AC23"/>
    </row>
    <row r="24" spans="1:30" ht="15">
      <c r="A24" s="178">
        <f t="shared" si="4"/>
        <v>2040</v>
      </c>
      <c r="B24" s="171">
        <v>16</v>
      </c>
      <c r="C24" s="151">
        <v>0</v>
      </c>
      <c r="D24" s="151"/>
      <c r="E24" s="151">
        <v>369000</v>
      </c>
      <c r="F24" s="151"/>
      <c r="G24" s="151">
        <v>3205000</v>
      </c>
      <c r="H24" s="151"/>
      <c r="I24" s="172">
        <v>396176</v>
      </c>
      <c r="K24" s="172">
        <v>8785000</v>
      </c>
      <c r="L24" s="172"/>
      <c r="M24" s="172">
        <f>368400+368400</f>
        <v>736800</v>
      </c>
      <c r="N24" s="172"/>
      <c r="O24" s="172">
        <v>4040000</v>
      </c>
      <c r="P24" s="172"/>
      <c r="Q24" s="172">
        <f>169800+169800</f>
        <v>339600</v>
      </c>
      <c r="R24" s="172"/>
      <c r="S24" s="172"/>
      <c r="T24" s="172"/>
      <c r="U24" s="172">
        <f t="shared" si="2"/>
        <v>16030000</v>
      </c>
      <c r="V24" s="172"/>
      <c r="W24" s="172">
        <f t="shared" si="3"/>
        <v>1841576</v>
      </c>
      <c r="X24" s="171">
        <v>16</v>
      </c>
      <c r="Y24"/>
      <c r="Z24"/>
      <c r="AA24"/>
      <c r="AB24"/>
      <c r="AC24"/>
    </row>
    <row r="25" spans="1:30" ht="15">
      <c r="A25" s="178">
        <f t="shared" si="4"/>
        <v>2041</v>
      </c>
      <c r="B25" s="171">
        <v>17</v>
      </c>
      <c r="C25" s="151">
        <v>0</v>
      </c>
      <c r="D25" s="151"/>
      <c r="E25" s="151">
        <v>369000</v>
      </c>
      <c r="F25" s="151"/>
      <c r="G25" s="151">
        <v>3300000</v>
      </c>
      <c r="H25" s="151"/>
      <c r="I25" s="172">
        <v>302847</v>
      </c>
      <c r="K25" s="172">
        <v>9635000</v>
      </c>
      <c r="L25" s="172"/>
      <c r="M25" s="172">
        <f>192700+192700</f>
        <v>385400</v>
      </c>
      <c r="N25" s="172"/>
      <c r="O25" s="172">
        <v>4450000</v>
      </c>
      <c r="P25" s="172"/>
      <c r="Q25" s="172">
        <f>89000+89000</f>
        <v>178000</v>
      </c>
      <c r="R25" s="172"/>
      <c r="S25" s="172"/>
      <c r="T25" s="172"/>
      <c r="U25" s="172">
        <f t="shared" si="2"/>
        <v>17385000</v>
      </c>
      <c r="V25" s="172"/>
      <c r="W25" s="172">
        <f t="shared" si="3"/>
        <v>1235247</v>
      </c>
      <c r="X25" s="171">
        <v>17</v>
      </c>
      <c r="Y25"/>
      <c r="Z25"/>
      <c r="AA25"/>
      <c r="AB25"/>
      <c r="AC25"/>
    </row>
    <row r="26" spans="1:30" ht="15">
      <c r="A26" s="178">
        <f t="shared" si="4"/>
        <v>2042</v>
      </c>
      <c r="B26" s="171">
        <v>18</v>
      </c>
      <c r="C26" s="151">
        <v>0</v>
      </c>
      <c r="D26" s="151"/>
      <c r="E26" s="151">
        <v>369000</v>
      </c>
      <c r="F26" s="151"/>
      <c r="G26" s="151">
        <v>3395000</v>
      </c>
      <c r="H26" s="151"/>
      <c r="I26" s="172">
        <v>204771</v>
      </c>
      <c r="K26" s="172">
        <v>5064257</v>
      </c>
      <c r="L26" s="172"/>
      <c r="M26" s="172">
        <v>5360744</v>
      </c>
      <c r="N26" s="172"/>
      <c r="O26" s="172">
        <v>2124712</v>
      </c>
      <c r="P26" s="172"/>
      <c r="Q26" s="172">
        <v>2670288</v>
      </c>
      <c r="R26" s="172"/>
      <c r="S26" s="172"/>
      <c r="T26" s="172"/>
      <c r="U26" s="172">
        <f t="shared" si="2"/>
        <v>10583969</v>
      </c>
      <c r="V26" s="172"/>
      <c r="W26" s="172">
        <f t="shared" si="3"/>
        <v>8604803</v>
      </c>
      <c r="X26" s="171">
        <v>18</v>
      </c>
      <c r="Y26"/>
      <c r="Z26"/>
      <c r="AA26"/>
      <c r="AB26"/>
      <c r="AC26"/>
    </row>
    <row r="27" spans="1:30" ht="15">
      <c r="A27" s="178">
        <f t="shared" si="4"/>
        <v>2043</v>
      </c>
      <c r="B27" s="171">
        <v>19</v>
      </c>
      <c r="C27" s="151">
        <v>0</v>
      </c>
      <c r="D27" s="151"/>
      <c r="E27" s="151">
        <v>369000</v>
      </c>
      <c r="F27" s="151"/>
      <c r="G27" s="151">
        <v>3495000</v>
      </c>
      <c r="H27" s="151"/>
      <c r="I27" s="172">
        <v>103871</v>
      </c>
      <c r="K27" s="172">
        <v>5018989</v>
      </c>
      <c r="L27" s="172"/>
      <c r="M27" s="172">
        <v>5816011</v>
      </c>
      <c r="N27" s="172"/>
      <c r="O27" s="172">
        <v>2088676</v>
      </c>
      <c r="P27" s="172"/>
      <c r="Q27" s="172">
        <v>2876324</v>
      </c>
      <c r="R27" s="172"/>
      <c r="S27" s="172"/>
      <c r="T27" s="172"/>
      <c r="U27" s="172">
        <f t="shared" si="2"/>
        <v>10602665</v>
      </c>
      <c r="V27" s="172"/>
      <c r="W27" s="172">
        <f t="shared" si="3"/>
        <v>9165206</v>
      </c>
      <c r="X27" s="171">
        <v>19</v>
      </c>
      <c r="Y27"/>
      <c r="Z27"/>
      <c r="AA27"/>
      <c r="AB27"/>
      <c r="AC27"/>
    </row>
    <row r="28" spans="1:30" ht="15">
      <c r="A28" s="178">
        <f t="shared" si="4"/>
        <v>2044</v>
      </c>
      <c r="B28" s="171">
        <v>20</v>
      </c>
      <c r="C28" s="151">
        <v>1270000</v>
      </c>
      <c r="D28" s="151"/>
      <c r="E28" s="151">
        <v>369000</v>
      </c>
      <c r="F28" s="151"/>
      <c r="G28" s="151">
        <v>0</v>
      </c>
      <c r="H28" s="151"/>
      <c r="I28" s="151">
        <v>0</v>
      </c>
      <c r="K28" s="172">
        <v>5454988</v>
      </c>
      <c r="L28" s="172"/>
      <c r="M28" s="172">
        <v>6965012</v>
      </c>
      <c r="N28" s="186"/>
      <c r="O28" s="186">
        <v>2239870</v>
      </c>
      <c r="P28" s="186"/>
      <c r="Q28" s="186">
        <v>3400130</v>
      </c>
      <c r="R28" s="186"/>
      <c r="S28" s="186"/>
      <c r="T28" s="186"/>
      <c r="U28" s="172">
        <f t="shared" si="2"/>
        <v>8964858</v>
      </c>
      <c r="V28" s="172"/>
      <c r="W28" s="172">
        <f t="shared" si="3"/>
        <v>10734142</v>
      </c>
      <c r="X28" s="171">
        <v>20</v>
      </c>
      <c r="Y28"/>
      <c r="Z28"/>
      <c r="AA28"/>
      <c r="AB28"/>
      <c r="AC28"/>
    </row>
    <row r="29" spans="1:30" ht="15">
      <c r="A29" s="178">
        <f t="shared" si="4"/>
        <v>2045</v>
      </c>
      <c r="B29" s="171">
        <v>21</v>
      </c>
      <c r="C29" s="151">
        <v>1310000</v>
      </c>
      <c r="D29" s="151"/>
      <c r="E29" s="151">
        <v>330900</v>
      </c>
      <c r="F29" s="151"/>
      <c r="G29" s="151">
        <v>0</v>
      </c>
      <c r="H29" s="151"/>
      <c r="I29" s="151">
        <v>0</v>
      </c>
      <c r="K29" s="172">
        <v>5372265</v>
      </c>
      <c r="L29" s="172"/>
      <c r="M29" s="172">
        <v>7487735</v>
      </c>
      <c r="N29" s="186"/>
      <c r="O29" s="186">
        <v>2183144</v>
      </c>
      <c r="P29" s="186"/>
      <c r="Q29" s="186">
        <v>3621856</v>
      </c>
      <c r="R29" s="186"/>
      <c r="S29" s="186"/>
      <c r="T29" s="186"/>
      <c r="U29" s="172">
        <f t="shared" si="2"/>
        <v>8865409</v>
      </c>
      <c r="V29" s="172"/>
      <c r="W29" s="172">
        <f t="shared" si="3"/>
        <v>11440491</v>
      </c>
      <c r="X29" s="171">
        <v>21</v>
      </c>
      <c r="Y29"/>
      <c r="Z29"/>
      <c r="AA29"/>
      <c r="AB29"/>
      <c r="AC29"/>
    </row>
    <row r="30" spans="1:30" ht="15">
      <c r="A30" s="178">
        <f t="shared" si="4"/>
        <v>2046</v>
      </c>
      <c r="B30" s="171">
        <v>22</v>
      </c>
      <c r="C30" s="151">
        <v>1345000</v>
      </c>
      <c r="D30" s="151"/>
      <c r="E30" s="151">
        <v>291600</v>
      </c>
      <c r="F30" s="151"/>
      <c r="G30" s="151">
        <v>0</v>
      </c>
      <c r="H30" s="151"/>
      <c r="I30" s="151">
        <v>0</v>
      </c>
      <c r="K30" s="172">
        <v>5286227</v>
      </c>
      <c r="L30" s="172"/>
      <c r="M30" s="172">
        <v>7968773</v>
      </c>
      <c r="N30" s="186"/>
      <c r="O30" s="186">
        <v>2125100</v>
      </c>
      <c r="P30" s="186"/>
      <c r="Q30" s="186">
        <v>3819900</v>
      </c>
      <c r="R30" s="186"/>
      <c r="S30" s="186"/>
      <c r="T30" s="186"/>
      <c r="U30" s="172">
        <f t="shared" si="2"/>
        <v>8756327</v>
      </c>
      <c r="V30" s="172"/>
      <c r="W30" s="172">
        <f t="shared" si="3"/>
        <v>12080273</v>
      </c>
      <c r="X30" s="171">
        <v>22</v>
      </c>
      <c r="Y30"/>
      <c r="Z30"/>
      <c r="AA30"/>
      <c r="AB30"/>
      <c r="AC30"/>
    </row>
    <row r="31" spans="1:30" ht="15">
      <c r="A31" s="178">
        <f t="shared" si="4"/>
        <v>2047</v>
      </c>
      <c r="B31" s="171">
        <v>23</v>
      </c>
      <c r="C31" s="151">
        <v>1400000</v>
      </c>
      <c r="D31" s="151"/>
      <c r="E31" s="151">
        <v>237800</v>
      </c>
      <c r="F31" s="151"/>
      <c r="G31" s="151">
        <v>0</v>
      </c>
      <c r="H31" s="151"/>
      <c r="I31" s="151">
        <v>0</v>
      </c>
      <c r="K31" s="172">
        <v>5276568</v>
      </c>
      <c r="L31" s="172"/>
      <c r="M31" s="172">
        <v>8523432</v>
      </c>
      <c r="N31" s="186"/>
      <c r="O31" s="186">
        <v>2117208</v>
      </c>
      <c r="P31" s="186"/>
      <c r="Q31" s="186">
        <v>4087792</v>
      </c>
      <c r="R31" s="186"/>
      <c r="S31" s="186"/>
      <c r="T31" s="186"/>
      <c r="U31" s="172">
        <f t="shared" si="2"/>
        <v>8793776</v>
      </c>
      <c r="V31" s="172"/>
      <c r="W31" s="172">
        <f t="shared" si="3"/>
        <v>12849024</v>
      </c>
      <c r="X31" s="171">
        <v>23</v>
      </c>
      <c r="Y31"/>
      <c r="Z31"/>
      <c r="AA31"/>
      <c r="AB31"/>
      <c r="AC31"/>
    </row>
    <row r="32" spans="1:30" ht="15">
      <c r="A32" s="178">
        <f t="shared" si="4"/>
        <v>2048</v>
      </c>
      <c r="B32" s="171">
        <v>24</v>
      </c>
      <c r="C32" s="151">
        <v>1455000</v>
      </c>
      <c r="D32" s="151"/>
      <c r="E32" s="151">
        <v>181800</v>
      </c>
      <c r="F32" s="151"/>
      <c r="G32" s="151">
        <v>0</v>
      </c>
      <c r="H32" s="151"/>
      <c r="I32" s="151">
        <v>0</v>
      </c>
      <c r="K32" s="172">
        <v>5212609</v>
      </c>
      <c r="L32" s="172"/>
      <c r="M32" s="172">
        <v>9012391</v>
      </c>
      <c r="N32" s="186"/>
      <c r="O32" s="186">
        <v>2070625</v>
      </c>
      <c r="P32" s="186"/>
      <c r="Q32" s="186">
        <v>4289375</v>
      </c>
      <c r="R32" s="186"/>
      <c r="S32" s="186"/>
      <c r="T32" s="186"/>
      <c r="U32" s="172">
        <f t="shared" si="2"/>
        <v>8738234</v>
      </c>
      <c r="V32" s="172"/>
      <c r="W32" s="172">
        <f t="shared" si="3"/>
        <v>13483566</v>
      </c>
      <c r="X32" s="171">
        <v>24</v>
      </c>
      <c r="Y32"/>
      <c r="Z32"/>
      <c r="AA32"/>
      <c r="AB32"/>
      <c r="AC32"/>
    </row>
    <row r="33" spans="1:29" ht="15">
      <c r="A33" s="178">
        <f t="shared" si="4"/>
        <v>2049</v>
      </c>
      <c r="B33" s="171">
        <v>25</v>
      </c>
      <c r="C33" s="151">
        <v>1515000</v>
      </c>
      <c r="D33" s="151"/>
      <c r="E33" s="151">
        <v>123600</v>
      </c>
      <c r="F33" s="151"/>
      <c r="G33" s="151">
        <v>0</v>
      </c>
      <c r="H33" s="151"/>
      <c r="I33" s="151">
        <v>0</v>
      </c>
      <c r="K33" s="172">
        <v>5155169</v>
      </c>
      <c r="L33" s="172"/>
      <c r="M33" s="172">
        <v>9529831</v>
      </c>
      <c r="N33" s="186"/>
      <c r="O33" s="186">
        <v>2027761</v>
      </c>
      <c r="P33" s="186"/>
      <c r="Q33" s="186">
        <v>4502239</v>
      </c>
      <c r="R33" s="186"/>
      <c r="S33" s="186"/>
      <c r="T33" s="186"/>
      <c r="U33" s="172">
        <f t="shared" si="2"/>
        <v>8697930</v>
      </c>
      <c r="V33" s="172"/>
      <c r="W33" s="172">
        <f t="shared" si="3"/>
        <v>14155670</v>
      </c>
      <c r="X33" s="171">
        <v>25</v>
      </c>
      <c r="Y33"/>
      <c r="Z33"/>
      <c r="AA33"/>
      <c r="AB33"/>
      <c r="AC33"/>
    </row>
    <row r="34" spans="1:29" ht="15">
      <c r="A34" s="178">
        <f t="shared" si="4"/>
        <v>2050</v>
      </c>
      <c r="B34" s="171">
        <v>26</v>
      </c>
      <c r="C34" s="151">
        <v>1575000</v>
      </c>
      <c r="D34" s="151"/>
      <c r="E34" s="151">
        <v>63000</v>
      </c>
      <c r="F34" s="151"/>
      <c r="G34" s="151">
        <v>0</v>
      </c>
      <c r="H34" s="151"/>
      <c r="I34" s="151">
        <v>0</v>
      </c>
      <c r="K34" s="172">
        <v>5138511</v>
      </c>
      <c r="L34" s="172"/>
      <c r="M34" s="172">
        <v>10146489</v>
      </c>
      <c r="N34" s="186"/>
      <c r="O34" s="186">
        <v>2016169</v>
      </c>
      <c r="P34" s="186"/>
      <c r="Q34" s="186">
        <v>4793831</v>
      </c>
      <c r="R34" s="186"/>
      <c r="S34" s="186"/>
      <c r="T34" s="186"/>
      <c r="U34" s="172">
        <f t="shared" si="2"/>
        <v>8729680</v>
      </c>
      <c r="V34" s="172"/>
      <c r="W34" s="172">
        <f t="shared" si="3"/>
        <v>15003320</v>
      </c>
      <c r="X34" s="171">
        <v>26</v>
      </c>
      <c r="Y34"/>
      <c r="Z34"/>
      <c r="AA34"/>
      <c r="AB34"/>
      <c r="AC34"/>
    </row>
    <row r="35" spans="1:29" ht="15">
      <c r="A35" s="178">
        <f t="shared" si="4"/>
        <v>2051</v>
      </c>
      <c r="B35" s="171">
        <v>27</v>
      </c>
      <c r="C35" s="151">
        <v>0</v>
      </c>
      <c r="E35" s="151">
        <v>0</v>
      </c>
      <c r="F35" s="151"/>
      <c r="G35" s="151">
        <v>0</v>
      </c>
      <c r="I35" s="151">
        <v>0</v>
      </c>
      <c r="K35" s="186">
        <v>5290557</v>
      </c>
      <c r="L35" s="172"/>
      <c r="M35" s="186">
        <v>11149444</v>
      </c>
      <c r="N35" s="186"/>
      <c r="O35" s="186">
        <v>2041428</v>
      </c>
      <c r="P35" s="186"/>
      <c r="Q35" s="186">
        <v>5193572</v>
      </c>
      <c r="R35" s="186"/>
      <c r="S35" s="186"/>
      <c r="T35" s="186"/>
      <c r="U35" s="172">
        <f t="shared" si="2"/>
        <v>7331985</v>
      </c>
      <c r="V35" s="172"/>
      <c r="W35" s="172">
        <f t="shared" si="3"/>
        <v>16343016</v>
      </c>
      <c r="X35" s="171">
        <v>27</v>
      </c>
      <c r="Y35"/>
      <c r="Z35"/>
      <c r="AA35"/>
      <c r="AB35"/>
      <c r="AC35"/>
    </row>
    <row r="36" spans="1:29" ht="15">
      <c r="A36" s="178">
        <f t="shared" si="4"/>
        <v>2052</v>
      </c>
      <c r="B36" s="171">
        <v>28</v>
      </c>
      <c r="C36" s="151">
        <v>0</v>
      </c>
      <c r="D36" s="151"/>
      <c r="E36" s="151">
        <v>0</v>
      </c>
      <c r="F36" s="151"/>
      <c r="G36" s="151">
        <v>0</v>
      </c>
      <c r="I36" s="151">
        <v>0</v>
      </c>
      <c r="K36" s="186">
        <v>5202115</v>
      </c>
      <c r="L36" s="172"/>
      <c r="M36" s="186">
        <v>11742885</v>
      </c>
      <c r="N36" s="186"/>
      <c r="O36" s="186">
        <v>1983200</v>
      </c>
      <c r="P36" s="186"/>
      <c r="Q36" s="186">
        <v>5416800</v>
      </c>
      <c r="R36" s="186"/>
      <c r="S36" s="186"/>
      <c r="T36" s="186"/>
      <c r="U36" s="172">
        <f t="shared" si="2"/>
        <v>7185315</v>
      </c>
      <c r="V36" s="172"/>
      <c r="W36" s="172">
        <f t="shared" si="3"/>
        <v>17159685</v>
      </c>
      <c r="X36" s="171">
        <v>28</v>
      </c>
      <c r="Y36"/>
      <c r="Z36"/>
      <c r="AA36"/>
      <c r="AB36"/>
      <c r="AC36"/>
    </row>
    <row r="37" spans="1:29" ht="15">
      <c r="A37" s="178">
        <f t="shared" si="4"/>
        <v>2053</v>
      </c>
      <c r="B37" s="171">
        <v>29</v>
      </c>
      <c r="C37" s="151">
        <v>0</v>
      </c>
      <c r="D37" s="151"/>
      <c r="E37" s="151">
        <v>0</v>
      </c>
      <c r="F37" s="151"/>
      <c r="G37" s="151">
        <v>0</v>
      </c>
      <c r="I37" s="151">
        <v>0</v>
      </c>
      <c r="K37" s="186">
        <v>5155967</v>
      </c>
      <c r="L37" s="172"/>
      <c r="M37" s="186">
        <v>12404033</v>
      </c>
      <c r="N37" s="186"/>
      <c r="O37" s="186">
        <v>1953479</v>
      </c>
      <c r="P37" s="186"/>
      <c r="Q37" s="186">
        <v>5701521</v>
      </c>
      <c r="R37" s="186"/>
      <c r="S37" s="186"/>
      <c r="T37" s="186"/>
      <c r="U37" s="172">
        <f t="shared" si="2"/>
        <v>7109446</v>
      </c>
      <c r="V37" s="172"/>
      <c r="W37" s="172">
        <f t="shared" si="3"/>
        <v>18105554</v>
      </c>
      <c r="X37" s="171">
        <v>29</v>
      </c>
      <c r="Y37"/>
      <c r="Z37"/>
      <c r="AA37"/>
      <c r="AB37"/>
      <c r="AC37"/>
    </row>
    <row r="38" spans="1:29" ht="15">
      <c r="A38" s="178">
        <f t="shared" si="4"/>
        <v>2054</v>
      </c>
      <c r="B38" s="171">
        <v>30</v>
      </c>
      <c r="C38" s="151">
        <v>0</v>
      </c>
      <c r="D38" s="151"/>
      <c r="E38" s="151">
        <v>0</v>
      </c>
      <c r="F38" s="151"/>
      <c r="G38" s="151">
        <v>0</v>
      </c>
      <c r="I38" s="151">
        <v>0</v>
      </c>
      <c r="K38" s="186">
        <v>5076640</v>
      </c>
      <c r="L38" s="172"/>
      <c r="M38" s="186">
        <v>13008360</v>
      </c>
      <c r="N38" s="186"/>
      <c r="O38" s="186">
        <v>1900693</v>
      </c>
      <c r="P38" s="186"/>
      <c r="Q38" s="186">
        <v>5924308</v>
      </c>
      <c r="R38" s="186"/>
      <c r="S38" s="186"/>
      <c r="T38" s="186"/>
      <c r="U38" s="172">
        <f t="shared" si="2"/>
        <v>6977333</v>
      </c>
      <c r="V38" s="172"/>
      <c r="W38" s="172">
        <f t="shared" si="3"/>
        <v>18932668</v>
      </c>
      <c r="X38" s="171">
        <v>30</v>
      </c>
      <c r="Y38"/>
      <c r="Z38"/>
      <c r="AA38"/>
      <c r="AB38"/>
      <c r="AC38"/>
    </row>
    <row r="39" spans="1:29" ht="15">
      <c r="A39" s="178">
        <f t="shared" si="4"/>
        <v>2055</v>
      </c>
      <c r="B39" s="171">
        <v>31</v>
      </c>
      <c r="C39" s="151">
        <v>0</v>
      </c>
      <c r="D39" s="151"/>
      <c r="E39" s="151">
        <v>0</v>
      </c>
      <c r="F39" s="151"/>
      <c r="G39" s="151">
        <v>0</v>
      </c>
      <c r="I39" s="151">
        <v>0</v>
      </c>
      <c r="K39" s="186">
        <v>4989636</v>
      </c>
      <c r="L39" s="172"/>
      <c r="M39" s="186">
        <v>13610364</v>
      </c>
      <c r="N39" s="186"/>
      <c r="O39" s="186">
        <v>1847724</v>
      </c>
      <c r="P39" s="186"/>
      <c r="Q39" s="186">
        <v>6147276</v>
      </c>
      <c r="R39" s="186"/>
      <c r="S39" s="186"/>
      <c r="T39" s="186"/>
      <c r="U39" s="172">
        <f t="shared" si="2"/>
        <v>6837360</v>
      </c>
      <c r="V39" s="172"/>
      <c r="W39" s="172">
        <f t="shared" si="3"/>
        <v>19757640</v>
      </c>
      <c r="X39" s="171">
        <v>31</v>
      </c>
      <c r="Y39"/>
      <c r="Z39"/>
      <c r="AA39"/>
      <c r="AB39"/>
      <c r="AC39"/>
    </row>
    <row r="40" spans="1:29" ht="15">
      <c r="A40" s="178">
        <f t="shared" si="4"/>
        <v>2056</v>
      </c>
      <c r="B40" s="171">
        <v>32</v>
      </c>
      <c r="C40" s="151">
        <v>0</v>
      </c>
      <c r="D40" s="151"/>
      <c r="E40" s="151">
        <v>0</v>
      </c>
      <c r="F40" s="151"/>
      <c r="G40" s="151">
        <v>0</v>
      </c>
      <c r="I40" s="151">
        <v>0</v>
      </c>
      <c r="K40" s="186">
        <v>4895847</v>
      </c>
      <c r="L40" s="172"/>
      <c r="M40" s="186">
        <v>14209151</v>
      </c>
      <c r="N40" s="186"/>
      <c r="O40" s="186">
        <v>1829918</v>
      </c>
      <c r="P40" s="186"/>
      <c r="Q40" s="186">
        <v>6495081</v>
      </c>
      <c r="R40" s="186"/>
      <c r="S40" s="173"/>
      <c r="T40" s="186"/>
      <c r="U40" s="172">
        <f t="shared" si="2"/>
        <v>6725765</v>
      </c>
      <c r="V40" s="172"/>
      <c r="W40" s="172">
        <f t="shared" si="3"/>
        <v>20704232</v>
      </c>
      <c r="X40" s="171">
        <v>32</v>
      </c>
      <c r="Y40"/>
      <c r="Z40"/>
      <c r="AA40"/>
      <c r="AB40"/>
      <c r="AC40"/>
    </row>
    <row r="41" spans="1:29" ht="15">
      <c r="A41" s="178"/>
      <c r="C41" s="153"/>
      <c r="D41" s="151"/>
      <c r="E41" s="153"/>
      <c r="F41" s="151"/>
      <c r="G41" s="153"/>
      <c r="I41" s="153"/>
      <c r="K41" s="185"/>
      <c r="L41" s="172"/>
      <c r="M41" s="185"/>
      <c r="N41" s="186"/>
      <c r="O41" s="185"/>
      <c r="P41" s="186"/>
      <c r="Q41" s="185"/>
      <c r="R41" s="186"/>
      <c r="S41" s="173"/>
      <c r="T41" s="186"/>
      <c r="U41" s="185"/>
      <c r="V41" s="186"/>
      <c r="W41" s="185"/>
      <c r="X41" s="151"/>
      <c r="Y41"/>
      <c r="Z41"/>
      <c r="AA41"/>
      <c r="AB41"/>
      <c r="AC41"/>
    </row>
    <row r="42" spans="1:29" ht="15">
      <c r="S42" s="173"/>
      <c r="Y42"/>
      <c r="Z42"/>
      <c r="AA42"/>
      <c r="AB42"/>
      <c r="AC42"/>
    </row>
    <row r="43" spans="1:29" ht="15.75" thickBot="1">
      <c r="A43" s="178"/>
      <c r="C43" s="155">
        <f>SUM(C8:C41)</f>
        <v>9870000</v>
      </c>
      <c r="D43" s="157"/>
      <c r="E43" s="155">
        <f>SUM(E8:E41)</f>
        <v>8608700</v>
      </c>
      <c r="F43" s="157"/>
      <c r="G43" s="155">
        <f>SUM(G8:G41)</f>
        <v>53260000</v>
      </c>
      <c r="H43" s="157"/>
      <c r="I43" s="155">
        <f>SUM(I8:I41)</f>
        <v>15147913</v>
      </c>
      <c r="K43" s="155">
        <f>SUM(K9:K41)</f>
        <v>151650345</v>
      </c>
      <c r="M43" s="155">
        <f>SUM(M8:M41)</f>
        <v>186928555</v>
      </c>
      <c r="N43" s="156"/>
      <c r="O43" s="155">
        <f>SUM(O8:O41)</f>
        <v>63884707</v>
      </c>
      <c r="P43" s="156"/>
      <c r="Q43" s="155">
        <f>SUM(Q8:Q41)</f>
        <v>87152293</v>
      </c>
      <c r="R43" s="156"/>
      <c r="S43" s="173"/>
      <c r="T43" s="156"/>
      <c r="U43" s="155">
        <f>SUM(U8:U41)</f>
        <v>278665052</v>
      </c>
      <c r="V43" s="156"/>
      <c r="W43" s="155">
        <f>SUM(W8:W41)</f>
        <v>297837461</v>
      </c>
      <c r="X43" s="156"/>
      <c r="Y43"/>
      <c r="Z43"/>
      <c r="AA43"/>
      <c r="AB43"/>
      <c r="AC43"/>
    </row>
    <row r="44" spans="1:29" ht="15.75" thickTop="1">
      <c r="A44" s="178"/>
      <c r="C44" s="156"/>
      <c r="D44" s="157"/>
      <c r="E44" s="156"/>
      <c r="F44" s="157"/>
      <c r="G44" s="156"/>
      <c r="H44" s="157"/>
      <c r="I44" s="156"/>
      <c r="N44" s="156"/>
      <c r="O44" s="156"/>
      <c r="P44" s="156"/>
      <c r="Q44" s="156"/>
      <c r="R44" s="156"/>
      <c r="S44" s="173"/>
      <c r="T44" s="156"/>
      <c r="U44" s="156"/>
      <c r="V44" s="156"/>
      <c r="W44" s="156"/>
      <c r="X44" s="156"/>
      <c r="Y44"/>
      <c r="Z44"/>
      <c r="AA44"/>
      <c r="AB44"/>
      <c r="AC44"/>
    </row>
    <row r="45" spans="1:29">
      <c r="C45" s="182" t="s">
        <v>63</v>
      </c>
      <c r="D45" s="183"/>
      <c r="E45" s="183"/>
      <c r="F45" s="183"/>
      <c r="G45" s="183"/>
      <c r="H45" s="173"/>
      <c r="I45" s="182" t="s">
        <v>64</v>
      </c>
      <c r="J45" s="183"/>
      <c r="K45" s="183"/>
      <c r="L45" s="183"/>
      <c r="M45" s="183"/>
      <c r="N45" s="184"/>
      <c r="O45" s="182" t="s">
        <v>83</v>
      </c>
      <c r="P45" s="183"/>
      <c r="Q45" s="183"/>
      <c r="R45" s="183"/>
      <c r="S45" s="183"/>
      <c r="T45" s="173"/>
      <c r="U45" s="182" t="s">
        <v>82</v>
      </c>
      <c r="V45" s="183"/>
      <c r="W45" s="183"/>
      <c r="X45" s="183"/>
      <c r="Y45" s="183"/>
      <c r="Z45" s="173"/>
      <c r="AA45" s="182" t="s">
        <v>65</v>
      </c>
      <c r="AB45" s="183"/>
      <c r="AC45" s="182"/>
    </row>
    <row r="46" spans="1:29" ht="13.5">
      <c r="A46" s="218"/>
      <c r="B46" s="218"/>
      <c r="C46" s="181"/>
      <c r="D46" s="181"/>
      <c r="E46" s="181"/>
      <c r="F46" s="173"/>
      <c r="G46" s="181"/>
      <c r="H46" s="173"/>
      <c r="I46" s="181"/>
      <c r="J46" s="173"/>
      <c r="T46" s="173"/>
      <c r="Y46" s="173"/>
      <c r="Z46" s="173"/>
      <c r="AA46" s="173"/>
      <c r="AB46" s="173"/>
      <c r="AC46" s="173"/>
    </row>
    <row r="47" spans="1:29">
      <c r="A47" s="178" t="s">
        <v>38</v>
      </c>
      <c r="C47" s="178" t="s">
        <v>37</v>
      </c>
      <c r="D47" s="178"/>
      <c r="E47" s="178" t="s">
        <v>3</v>
      </c>
      <c r="F47" s="178"/>
      <c r="G47" s="178" t="s">
        <v>36</v>
      </c>
      <c r="H47" s="178"/>
      <c r="I47" s="178" t="s">
        <v>37</v>
      </c>
      <c r="J47" s="178"/>
      <c r="K47" s="178" t="s">
        <v>3</v>
      </c>
      <c r="L47" s="178"/>
      <c r="M47" s="178" t="s">
        <v>36</v>
      </c>
      <c r="N47" s="178"/>
      <c r="O47" s="178" t="s">
        <v>37</v>
      </c>
      <c r="P47" s="178"/>
      <c r="Q47" s="178" t="s">
        <v>3</v>
      </c>
      <c r="R47" s="178"/>
      <c r="S47" s="178" t="s">
        <v>36</v>
      </c>
      <c r="T47" s="178"/>
      <c r="U47" s="178" t="s">
        <v>37</v>
      </c>
      <c r="V47" s="178"/>
      <c r="W47" s="178" t="s">
        <v>3</v>
      </c>
      <c r="X47" s="178"/>
      <c r="Y47" s="178" t="s">
        <v>36</v>
      </c>
      <c r="Z47" s="178"/>
      <c r="AA47" s="178" t="s">
        <v>37</v>
      </c>
      <c r="AB47" s="173"/>
      <c r="AC47" s="178" t="s">
        <v>3</v>
      </c>
    </row>
    <row r="48" spans="1:29" ht="15" customHeight="1">
      <c r="A48" s="178">
        <v>2025</v>
      </c>
      <c r="C48" s="209">
        <v>0</v>
      </c>
      <c r="D48" s="152"/>
      <c r="E48" s="204">
        <f>E9</f>
        <v>369000</v>
      </c>
      <c r="F48" s="152"/>
      <c r="G48" s="209">
        <f>SUM(C48:E48)</f>
        <v>369000</v>
      </c>
      <c r="H48" s="152"/>
      <c r="I48" s="209">
        <v>2345000</v>
      </c>
      <c r="J48" s="152"/>
      <c r="K48" s="204">
        <f>I9</f>
        <v>1256904</v>
      </c>
      <c r="M48" s="204">
        <f>SUM(I48:K48)</f>
        <v>3601904</v>
      </c>
      <c r="O48" s="204">
        <f>K8</f>
        <v>0</v>
      </c>
      <c r="Q48" s="204">
        <v>3295900</v>
      </c>
      <c r="S48" s="204">
        <f>SUM(O48:Q48)</f>
        <v>3295900</v>
      </c>
      <c r="U48" s="204">
        <f>O8</f>
        <v>0</v>
      </c>
      <c r="W48" s="204">
        <v>1478350</v>
      </c>
      <c r="Y48" s="204">
        <f>SUM(U48:X48)</f>
        <v>1478350</v>
      </c>
      <c r="AA48" s="210">
        <f>+C48+I48+O48+U48</f>
        <v>2345000</v>
      </c>
      <c r="AB48" s="176"/>
      <c r="AC48" s="210">
        <f>+E48+K48+Q48+W48</f>
        <v>6400154</v>
      </c>
    </row>
    <row r="49" spans="1:29" ht="15" customHeight="1">
      <c r="A49" s="178">
        <v>2026</v>
      </c>
      <c r="C49" s="152">
        <v>0</v>
      </c>
      <c r="D49" s="152"/>
      <c r="E49" s="180">
        <f>E10</f>
        <v>369000</v>
      </c>
      <c r="F49" s="152"/>
      <c r="G49" s="152">
        <f>SUM(C49:E49)</f>
        <v>369000</v>
      </c>
      <c r="H49" s="152"/>
      <c r="I49" s="152">
        <v>2365000</v>
      </c>
      <c r="J49" s="152"/>
      <c r="K49" s="180">
        <f t="shared" ref="K49:K52" si="5">I10</f>
        <v>1231954</v>
      </c>
      <c r="M49" s="172">
        <f>SUM(I49:K49)</f>
        <v>3596954</v>
      </c>
      <c r="O49" s="172">
        <f>K9</f>
        <v>0</v>
      </c>
      <c r="Q49" s="172">
        <f>M9</f>
        <v>3295900</v>
      </c>
      <c r="S49" s="172">
        <f>SUM(O49:Q49)</f>
        <v>3295900</v>
      </c>
      <c r="U49" s="172">
        <f>O9</f>
        <v>0</v>
      </c>
      <c r="W49" s="172">
        <f>Q9</f>
        <v>1478350</v>
      </c>
      <c r="Y49" s="172">
        <f>SUM(U49:X49)</f>
        <v>1478350</v>
      </c>
      <c r="AA49" s="176">
        <f>+C49+I49+O49+U49</f>
        <v>2365000</v>
      </c>
      <c r="AB49" s="176"/>
      <c r="AC49" s="176">
        <f>+E49+K49+Q49+W49</f>
        <v>6375204</v>
      </c>
    </row>
    <row r="50" spans="1:29" ht="15" customHeight="1">
      <c r="A50" s="178">
        <v>2027</v>
      </c>
      <c r="C50" s="152">
        <v>0</v>
      </c>
      <c r="D50" s="152"/>
      <c r="E50" s="180">
        <f>E11</f>
        <v>369000</v>
      </c>
      <c r="F50" s="152"/>
      <c r="G50" s="152">
        <f>SUM(C50:E50)</f>
        <v>369000</v>
      </c>
      <c r="H50" s="152"/>
      <c r="I50" s="152">
        <v>2400000</v>
      </c>
      <c r="J50" s="152"/>
      <c r="K50" s="180">
        <f t="shared" si="5"/>
        <v>1199695</v>
      </c>
      <c r="M50" s="172">
        <f>SUM(I50:K50)</f>
        <v>3599695</v>
      </c>
      <c r="O50" s="172">
        <f>K10</f>
        <v>0</v>
      </c>
      <c r="Q50" s="172">
        <f>M10</f>
        <v>3295900</v>
      </c>
      <c r="S50" s="172">
        <f>SUM(O50:Q50)</f>
        <v>3295900</v>
      </c>
      <c r="U50" s="172">
        <f>O10</f>
        <v>0</v>
      </c>
      <c r="W50" s="172">
        <f>Q10</f>
        <v>1478350</v>
      </c>
      <c r="Y50" s="172">
        <f>SUM(U50:X50)</f>
        <v>1478350</v>
      </c>
      <c r="AA50" s="176">
        <f>+C50+I50+O50+U50</f>
        <v>2400000</v>
      </c>
      <c r="AB50" s="176"/>
      <c r="AC50" s="176">
        <f>+E50+K50+Q50+W50</f>
        <v>6342945</v>
      </c>
    </row>
    <row r="51" spans="1:29" ht="15" customHeight="1">
      <c r="A51" s="178">
        <v>2028</v>
      </c>
      <c r="C51" s="152">
        <v>0</v>
      </c>
      <c r="D51" s="152"/>
      <c r="E51" s="180">
        <f>E12</f>
        <v>369000</v>
      </c>
      <c r="F51" s="152"/>
      <c r="G51" s="152">
        <f>SUM(C51:E51)</f>
        <v>369000</v>
      </c>
      <c r="H51" s="152"/>
      <c r="I51" s="152">
        <v>2435000</v>
      </c>
      <c r="J51" s="152"/>
      <c r="K51" s="180">
        <f t="shared" si="5"/>
        <v>1164559</v>
      </c>
      <c r="M51" s="172">
        <f>SUM(I51:K51)</f>
        <v>3599559</v>
      </c>
      <c r="O51" s="172">
        <v>800000</v>
      </c>
      <c r="Q51" s="172">
        <f>M11</f>
        <v>3295900</v>
      </c>
      <c r="S51" s="172">
        <f>SUM(O51:Q51)</f>
        <v>4095900</v>
      </c>
      <c r="U51" s="172">
        <f>O12</f>
        <v>240000</v>
      </c>
      <c r="W51" s="172">
        <f>Q11</f>
        <v>1478350</v>
      </c>
      <c r="Y51" s="172">
        <f>SUM(U51:X51)</f>
        <v>1718350</v>
      </c>
      <c r="AA51" s="176">
        <f>+C51+I51+O51+U51</f>
        <v>3475000</v>
      </c>
      <c r="AB51" s="176"/>
      <c r="AC51" s="176">
        <f>+E51+K51+Q51+W51</f>
        <v>6307809</v>
      </c>
    </row>
    <row r="52" spans="1:29" ht="15" customHeight="1">
      <c r="A52" s="178">
        <v>2029</v>
      </c>
      <c r="C52" s="152">
        <v>0</v>
      </c>
      <c r="E52" s="180">
        <f>E13</f>
        <v>369000</v>
      </c>
      <c r="G52" s="152">
        <f>SUM(C52:E52)</f>
        <v>369000</v>
      </c>
      <c r="I52" s="152">
        <v>2475000</v>
      </c>
      <c r="K52" s="180">
        <f t="shared" si="5"/>
        <v>1123602</v>
      </c>
      <c r="M52" s="172">
        <f>SUM(I52:K52)</f>
        <v>3598602</v>
      </c>
      <c r="O52" s="172">
        <v>1600000</v>
      </c>
      <c r="Q52" s="172">
        <v>3255900</v>
      </c>
      <c r="S52" s="172">
        <f>SUM(O52:Q52)</f>
        <v>4855900</v>
      </c>
      <c r="U52" s="172">
        <v>475000</v>
      </c>
      <c r="W52" s="172">
        <f>733175+733175</f>
        <v>1466350</v>
      </c>
      <c r="Y52" s="172">
        <f>SUM(U52:X52)</f>
        <v>1941350</v>
      </c>
      <c r="AA52" s="176">
        <f>+C52+I52+O52+U52</f>
        <v>4550000</v>
      </c>
      <c r="AB52" s="176"/>
      <c r="AC52" s="176">
        <f>+E52+K52+Q52+W52</f>
        <v>6214852</v>
      </c>
    </row>
    <row r="53" spans="1:29" ht="15" customHeight="1">
      <c r="A53" s="178" t="s">
        <v>101</v>
      </c>
      <c r="C53" s="172">
        <f>SUM(C14:C18)</f>
        <v>0</v>
      </c>
      <c r="D53" s="172"/>
      <c r="E53" s="172">
        <f>SUM(E14:E18)</f>
        <v>1845000</v>
      </c>
      <c r="F53" s="172"/>
      <c r="G53" s="152">
        <f t="shared" ref="G53:G58" si="6">SUM(C53:E53)</f>
        <v>1845000</v>
      </c>
      <c r="H53" s="172"/>
      <c r="I53" s="172">
        <f>SUM(G14:G18)</f>
        <v>13115000</v>
      </c>
      <c r="J53" s="172"/>
      <c r="K53" s="172">
        <f>SUM(I14:I18)</f>
        <v>4888742</v>
      </c>
      <c r="L53" s="172"/>
      <c r="M53" s="172">
        <f t="shared" ref="M53:M57" si="7">SUM(I53:K53)</f>
        <v>18003742</v>
      </c>
      <c r="N53" s="172"/>
      <c r="O53" s="172">
        <f>SUM(K14:K18)</f>
        <v>19250000</v>
      </c>
      <c r="P53" s="172"/>
      <c r="Q53" s="172">
        <f>SUM(M14:M18)</f>
        <v>14235000</v>
      </c>
      <c r="R53" s="172"/>
      <c r="S53" s="172">
        <f t="shared" ref="S53:S58" si="8">SUM(O53:Q53)</f>
        <v>33485000</v>
      </c>
      <c r="T53" s="172"/>
      <c r="U53" s="172">
        <f>SUM(O14:O18)</f>
        <v>8400000</v>
      </c>
      <c r="W53" s="172">
        <f>SUM(Q14:Q18)</f>
        <v>6525250</v>
      </c>
      <c r="Y53" s="172">
        <f t="shared" ref="Y53:Y58" si="9">SUM(U53:X53)</f>
        <v>14925250</v>
      </c>
      <c r="Z53" s="172"/>
      <c r="AA53" s="176">
        <f t="shared" ref="AA53:AA58" si="10">+C53+I53+O53+U53</f>
        <v>40765000</v>
      </c>
      <c r="AB53" s="176"/>
      <c r="AC53" s="176">
        <f t="shared" ref="AC53:AC58" si="11">+E53+K53+Q53+W53</f>
        <v>27493992</v>
      </c>
    </row>
    <row r="54" spans="1:29" ht="15" customHeight="1">
      <c r="A54" s="178" t="s">
        <v>102</v>
      </c>
      <c r="C54" s="172">
        <f>SUM(C19:C23)</f>
        <v>0</v>
      </c>
      <c r="D54" s="172"/>
      <c r="E54" s="172">
        <f>SUM(E19:E23)</f>
        <v>1845000</v>
      </c>
      <c r="F54" s="172"/>
      <c r="G54" s="152">
        <f t="shared" si="6"/>
        <v>1845000</v>
      </c>
      <c r="H54" s="172"/>
      <c r="I54" s="172">
        <v>14730000</v>
      </c>
      <c r="J54" s="172"/>
      <c r="K54" s="172">
        <f>SUM(I19:I23)</f>
        <v>3274792</v>
      </c>
      <c r="L54" s="172"/>
      <c r="M54" s="172">
        <f t="shared" si="7"/>
        <v>18004792</v>
      </c>
      <c r="N54" s="172"/>
      <c r="O54" s="172">
        <f>SUM(K19:K23)</f>
        <v>33990000</v>
      </c>
      <c r="P54" s="172"/>
      <c r="Q54" s="172">
        <f>SUM(M19:M23)</f>
        <v>8197200</v>
      </c>
      <c r="R54" s="172"/>
      <c r="S54" s="172">
        <f t="shared" si="8"/>
        <v>42187200</v>
      </c>
      <c r="T54" s="172"/>
      <c r="U54" s="172">
        <f>SUM(O19:O23)</f>
        <v>15730000</v>
      </c>
      <c r="W54" s="172">
        <f>SUM(Q19:Q23)</f>
        <v>3789400</v>
      </c>
      <c r="Y54" s="172">
        <f t="shared" si="9"/>
        <v>19519400</v>
      </c>
      <c r="Z54" s="172"/>
      <c r="AA54" s="176">
        <f t="shared" si="10"/>
        <v>64450000</v>
      </c>
      <c r="AB54" s="176"/>
      <c r="AC54" s="176">
        <f t="shared" si="11"/>
        <v>17106392</v>
      </c>
    </row>
    <row r="55" spans="1:29" ht="15" customHeight="1">
      <c r="A55" s="178" t="s">
        <v>103</v>
      </c>
      <c r="C55" s="172">
        <f>SUM(C24:C28)</f>
        <v>1270000</v>
      </c>
      <c r="D55" s="172"/>
      <c r="E55" s="172">
        <f>SUM(E24:E28)</f>
        <v>1845000</v>
      </c>
      <c r="F55" s="172"/>
      <c r="G55" s="152">
        <f t="shared" si="6"/>
        <v>3115000</v>
      </c>
      <c r="H55" s="172"/>
      <c r="I55" s="172">
        <v>13395000</v>
      </c>
      <c r="J55" s="172"/>
      <c r="K55" s="172">
        <f>SUM(I24:I28)</f>
        <v>1007665</v>
      </c>
      <c r="L55" s="172"/>
      <c r="M55" s="172">
        <f t="shared" si="7"/>
        <v>14402665</v>
      </c>
      <c r="N55" s="172"/>
      <c r="O55" s="172">
        <f>SUM(K24:K28)</f>
        <v>33958234</v>
      </c>
      <c r="P55" s="172"/>
      <c r="Q55" s="172">
        <f>SUM(M24:M28)</f>
        <v>19263967</v>
      </c>
      <c r="R55" s="172"/>
      <c r="S55" s="172">
        <f t="shared" si="8"/>
        <v>53222201</v>
      </c>
      <c r="T55" s="172"/>
      <c r="U55" s="172">
        <f>SUM(O24:O28)</f>
        <v>14943258</v>
      </c>
      <c r="W55" s="172">
        <f>SUM(Q24:Q28)</f>
        <v>9464342</v>
      </c>
      <c r="Y55" s="172">
        <f t="shared" si="9"/>
        <v>24407600</v>
      </c>
      <c r="Z55" s="172"/>
      <c r="AA55" s="176">
        <f t="shared" si="10"/>
        <v>63566492</v>
      </c>
      <c r="AB55" s="176"/>
      <c r="AC55" s="176">
        <f t="shared" si="11"/>
        <v>31580974</v>
      </c>
    </row>
    <row r="56" spans="1:29" ht="15" customHeight="1">
      <c r="A56" s="178" t="s">
        <v>104</v>
      </c>
      <c r="C56" s="172">
        <f>SUM(C29:C33)</f>
        <v>7025000</v>
      </c>
      <c r="D56" s="173"/>
      <c r="E56" s="172">
        <f>SUM(E29:E33)</f>
        <v>1165700</v>
      </c>
      <c r="F56" s="172"/>
      <c r="G56" s="152">
        <f t="shared" si="6"/>
        <v>8190700</v>
      </c>
      <c r="H56" s="172"/>
      <c r="I56" s="172">
        <f>SUM(G29:G33)</f>
        <v>0</v>
      </c>
      <c r="J56" s="173"/>
      <c r="K56" s="172">
        <f>SUM(I29:I33)</f>
        <v>0</v>
      </c>
      <c r="L56" s="173"/>
      <c r="M56" s="172">
        <f t="shared" si="7"/>
        <v>0</v>
      </c>
      <c r="N56" s="173"/>
      <c r="O56" s="176">
        <f>SUM(K29:K33)</f>
        <v>26302838</v>
      </c>
      <c r="P56" s="173"/>
      <c r="Q56" s="176">
        <f>SUM(M29:M33)</f>
        <v>42522162</v>
      </c>
      <c r="R56" s="173"/>
      <c r="S56" s="172">
        <f t="shared" si="8"/>
        <v>68825000</v>
      </c>
      <c r="T56" s="173"/>
      <c r="U56" s="172">
        <f>SUM(O29:O33)</f>
        <v>10523838</v>
      </c>
      <c r="W56" s="172">
        <f>SUM(Q29:Q33)</f>
        <v>20321162</v>
      </c>
      <c r="Y56" s="172">
        <f t="shared" si="9"/>
        <v>30845000</v>
      </c>
      <c r="Z56" s="173"/>
      <c r="AA56" s="176">
        <f t="shared" si="10"/>
        <v>43851676</v>
      </c>
      <c r="AB56" s="176"/>
      <c r="AC56" s="176">
        <f t="shared" si="11"/>
        <v>64009024</v>
      </c>
    </row>
    <row r="57" spans="1:29" ht="15" customHeight="1">
      <c r="A57" s="178" t="s">
        <v>105</v>
      </c>
      <c r="C57" s="172">
        <f>SUM(C34:C40)</f>
        <v>1575000</v>
      </c>
      <c r="D57" s="173"/>
      <c r="E57" s="172">
        <f>SUM(E34:E40)</f>
        <v>63000</v>
      </c>
      <c r="F57" s="172"/>
      <c r="G57" s="179">
        <f t="shared" si="6"/>
        <v>1638000</v>
      </c>
      <c r="H57" s="172"/>
      <c r="I57" s="172">
        <f t="shared" ref="I57:I58" si="12">SUM(G30:G34)</f>
        <v>0</v>
      </c>
      <c r="J57" s="173"/>
      <c r="K57" s="172">
        <f>SUM(I34:I38)</f>
        <v>0</v>
      </c>
      <c r="L57" s="173"/>
      <c r="M57" s="172">
        <f t="shared" si="7"/>
        <v>0</v>
      </c>
      <c r="N57" s="173"/>
      <c r="O57" s="176">
        <f>SUM(K34:K38)</f>
        <v>25863790</v>
      </c>
      <c r="P57" s="173"/>
      <c r="Q57" s="176">
        <f>SUM(M34:M38)</f>
        <v>58451211</v>
      </c>
      <c r="R57" s="173"/>
      <c r="S57" s="172">
        <f t="shared" si="8"/>
        <v>84315001</v>
      </c>
      <c r="T57" s="173"/>
      <c r="U57" s="172">
        <f>SUM(O34:O38)</f>
        <v>9894969</v>
      </c>
      <c r="W57" s="172">
        <f>SUM(Q34:Q38)</f>
        <v>27030032</v>
      </c>
      <c r="Y57" s="172">
        <f t="shared" si="9"/>
        <v>36925001</v>
      </c>
      <c r="Z57" s="173"/>
      <c r="AA57" s="176">
        <f t="shared" si="10"/>
        <v>37333759</v>
      </c>
      <c r="AB57" s="176"/>
      <c r="AC57" s="176">
        <f t="shared" si="11"/>
        <v>85544243</v>
      </c>
    </row>
    <row r="58" spans="1:29" ht="15" customHeight="1">
      <c r="A58" s="178" t="s">
        <v>106</v>
      </c>
      <c r="C58" s="177">
        <f>SUM(C38:C40)</f>
        <v>0</v>
      </c>
      <c r="D58" s="173"/>
      <c r="E58" s="177">
        <f>SUM(E38:E40)</f>
        <v>0</v>
      </c>
      <c r="F58" s="172"/>
      <c r="G58" s="154">
        <f t="shared" si="6"/>
        <v>0</v>
      </c>
      <c r="H58" s="172"/>
      <c r="I58" s="177">
        <f t="shared" si="12"/>
        <v>0</v>
      </c>
      <c r="J58" s="173"/>
      <c r="K58" s="177">
        <f>SUM(I39:I40)</f>
        <v>0</v>
      </c>
      <c r="L58" s="173"/>
      <c r="M58" s="177">
        <v>0</v>
      </c>
      <c r="N58" s="173"/>
      <c r="O58" s="175">
        <f>SUM(K39:K40)</f>
        <v>9885483</v>
      </c>
      <c r="P58" s="173"/>
      <c r="Q58" s="175">
        <f>SUM(M39:M40)</f>
        <v>27819515</v>
      </c>
      <c r="R58" s="173"/>
      <c r="S58" s="177">
        <f t="shared" si="8"/>
        <v>37704998</v>
      </c>
      <c r="T58" s="173"/>
      <c r="U58" s="177">
        <f>SUM(O39:O40)</f>
        <v>3677642</v>
      </c>
      <c r="W58" s="177">
        <f>SUM(Q39:Q40)</f>
        <v>12642357</v>
      </c>
      <c r="Y58" s="177">
        <f t="shared" si="9"/>
        <v>16319999</v>
      </c>
      <c r="Z58" s="173"/>
      <c r="AA58" s="175">
        <f t="shared" si="10"/>
        <v>13563125</v>
      </c>
      <c r="AB58" s="176"/>
      <c r="AC58" s="175">
        <f t="shared" si="11"/>
        <v>40461872</v>
      </c>
    </row>
    <row r="59" spans="1:29" ht="13.5" thickBot="1">
      <c r="C59" s="174">
        <f>SUM(C48:C58)</f>
        <v>9870000</v>
      </c>
      <c r="D59" s="157"/>
      <c r="E59" s="174">
        <f>SUM(E48:E57)</f>
        <v>8608700</v>
      </c>
      <c r="F59" s="157"/>
      <c r="G59" s="174">
        <f>SUM(G48:G57)</f>
        <v>18478700</v>
      </c>
      <c r="H59" s="157"/>
      <c r="I59" s="174">
        <f>SUM(I48:I57)</f>
        <v>53260000</v>
      </c>
      <c r="J59" s="157"/>
      <c r="K59" s="174">
        <f>SUM(K48:K57)</f>
        <v>15147913</v>
      </c>
      <c r="M59" s="174">
        <f>SUM(M48:M57)</f>
        <v>68407913</v>
      </c>
      <c r="O59" s="174">
        <f>SUM(O48:O58)</f>
        <v>151650345</v>
      </c>
      <c r="Q59" s="174">
        <f>SUM(Q48:Q58)</f>
        <v>186928555</v>
      </c>
      <c r="S59" s="174">
        <f>SUM(S48:S58)</f>
        <v>338578900</v>
      </c>
      <c r="U59" s="174">
        <f>SUM(U48:U58)</f>
        <v>63884707</v>
      </c>
      <c r="W59" s="174">
        <f>SUM(W48:W58)</f>
        <v>87152293</v>
      </c>
      <c r="Y59" s="174">
        <f>SUM(Y48:Y58)</f>
        <v>151037000</v>
      </c>
      <c r="AA59" s="174">
        <f>SUM(AA48:AA58)</f>
        <v>278665052</v>
      </c>
      <c r="AB59" s="173"/>
      <c r="AC59" s="174">
        <f>SUM(AC48:AC58)</f>
        <v>297837461</v>
      </c>
    </row>
    <row r="60" spans="1:29" ht="15.75" thickTop="1">
      <c r="C60"/>
      <c r="D60" s="172"/>
      <c r="E60" s="172"/>
      <c r="F60" s="172"/>
      <c r="G60" s="172"/>
      <c r="H60" s="172"/>
      <c r="I60" s="172"/>
      <c r="J60" s="172"/>
      <c r="K60" s="172"/>
      <c r="L60" s="172"/>
      <c r="AC60" s="173"/>
    </row>
    <row r="61" spans="1:29">
      <c r="M61" s="172"/>
      <c r="N61" s="172"/>
      <c r="O61" s="172"/>
      <c r="P61" s="172"/>
      <c r="Q61" s="172"/>
      <c r="R61" s="172"/>
      <c r="S61" s="172"/>
      <c r="T61" s="172"/>
      <c r="U61" s="172"/>
      <c r="V61" s="172"/>
      <c r="W61" s="172"/>
      <c r="X61" s="172"/>
      <c r="Y61" s="172"/>
      <c r="Z61" s="172"/>
      <c r="AA61" s="172"/>
      <c r="AB61" s="172"/>
      <c r="AC61" s="172"/>
    </row>
  </sheetData>
  <mergeCells count="3">
    <mergeCell ref="A46:B46"/>
    <mergeCell ref="G5:I5"/>
    <mergeCell ref="K5:M5"/>
  </mergeCells>
  <printOptions horizontalCentered="1"/>
  <pageMargins left="0.5" right="0.5" top="0.5" bottom="0.5" header="0.5" footer="0.25"/>
  <pageSetup paperSize="5" scale="61" firstPageNumber="342" orientation="landscape" useFirstPageNumber="1" r:id="rId1"/>
  <headerFooter alignWithMargins="0">
    <oddFooter>&amp;L&amp;Z&amp;F</oddFooter>
  </headerFooter>
  <rowBreaks count="1" manualBreakCount="1">
    <brk id="59" max="28" man="1"/>
  </rowBreaks>
  <ignoredErrors>
    <ignoredError sqref="C58 C53:C57 E53:E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E88"/>
  <sheetViews>
    <sheetView view="pageBreakPreview" topLeftCell="A6" zoomScale="60" zoomScaleNormal="100" workbookViewId="0">
      <selection activeCell="M11" sqref="M11"/>
    </sheetView>
  </sheetViews>
  <sheetFormatPr defaultColWidth="9.140625" defaultRowHeight="15"/>
  <cols>
    <col min="1" max="1" width="2.28515625" style="14" customWidth="1"/>
    <col min="2" max="2" width="49.5703125" style="14" customWidth="1"/>
    <col min="3" max="3" width="16" style="14" customWidth="1"/>
    <col min="4" max="4" width="15.5703125" style="14" bestFit="1" customWidth="1"/>
    <col min="5" max="5" width="15.85546875" style="14" bestFit="1" customWidth="1"/>
    <col min="6" max="6" width="2.7109375" style="14" customWidth="1"/>
    <col min="7" max="7" width="32.85546875" style="14" customWidth="1"/>
    <col min="8" max="8" width="19.42578125" style="14" customWidth="1"/>
    <col min="9" max="9" width="18.28515625" style="14" bestFit="1" customWidth="1"/>
    <col min="10" max="10" width="18.7109375" style="14" bestFit="1" customWidth="1"/>
    <col min="11" max="11" width="2.28515625" style="14" customWidth="1"/>
    <col min="12" max="12" width="13" style="14" customWidth="1"/>
    <col min="13" max="13" width="19.42578125" style="14" bestFit="1" customWidth="1"/>
    <col min="14" max="15" width="12.28515625" style="14" hidden="1" customWidth="1"/>
    <col min="16" max="16" width="18.28515625" style="14" bestFit="1" customWidth="1"/>
    <col min="17" max="18" width="12.28515625" style="14" hidden="1" customWidth="1"/>
    <col min="19" max="19" width="18.7109375" style="14" bestFit="1" customWidth="1"/>
    <col min="20" max="20" width="2.7109375" style="14" customWidth="1"/>
    <col min="21" max="21" width="12.28515625" style="14" customWidth="1"/>
    <col min="22" max="23" width="12.28515625" style="14" hidden="1" customWidth="1"/>
    <col min="24" max="24" width="12.28515625" style="14" bestFit="1" customWidth="1"/>
    <col min="25" max="26" width="12.28515625" style="14" hidden="1" customWidth="1"/>
    <col min="27" max="27" width="12.28515625" style="14" bestFit="1" customWidth="1"/>
    <col min="28" max="28" width="2.42578125" style="14" customWidth="1"/>
    <col min="29" max="31" width="12.28515625" style="14" customWidth="1"/>
    <col min="32" max="16384" width="9.140625" style="14"/>
  </cols>
  <sheetData>
    <row r="1" spans="2:19">
      <c r="B1" s="1" t="s">
        <v>27</v>
      </c>
      <c r="C1" s="2"/>
      <c r="D1" s="2"/>
      <c r="E1" s="3"/>
      <c r="F1" s="15"/>
      <c r="G1" s="1" t="s">
        <v>28</v>
      </c>
      <c r="H1" s="2"/>
      <c r="I1" s="2"/>
      <c r="J1" s="3"/>
      <c r="K1" s="15"/>
      <c r="L1" s="221" t="s">
        <v>29</v>
      </c>
      <c r="M1" s="211"/>
      <c r="N1" s="211"/>
      <c r="O1" s="211"/>
      <c r="P1" s="211"/>
      <c r="Q1" s="211"/>
      <c r="R1" s="211"/>
      <c r="S1" s="211"/>
    </row>
    <row r="2" spans="2:19">
      <c r="B2" s="4">
        <v>2024</v>
      </c>
      <c r="C2" s="5"/>
      <c r="D2" s="5"/>
      <c r="E2" s="6"/>
      <c r="F2" s="15"/>
      <c r="G2" s="4" t="s">
        <v>107</v>
      </c>
      <c r="H2" s="5"/>
      <c r="I2" s="5"/>
      <c r="J2" s="6"/>
      <c r="K2" s="15"/>
      <c r="L2" s="221" t="s">
        <v>0</v>
      </c>
      <c r="M2" s="211"/>
      <c r="N2" s="211"/>
      <c r="O2" s="211"/>
      <c r="P2" s="211"/>
      <c r="Q2" s="211"/>
      <c r="R2" s="211"/>
      <c r="S2" s="211"/>
    </row>
    <row r="3" spans="2:19">
      <c r="B3" s="7" t="s">
        <v>1</v>
      </c>
      <c r="C3" s="7" t="s">
        <v>2</v>
      </c>
      <c r="D3" s="7" t="s">
        <v>3</v>
      </c>
      <c r="E3" s="7" t="s">
        <v>4</v>
      </c>
      <c r="F3" s="15"/>
      <c r="G3" s="7" t="s">
        <v>1</v>
      </c>
      <c r="H3" s="8" t="s">
        <v>2</v>
      </c>
      <c r="I3" s="8" t="s">
        <v>3</v>
      </c>
      <c r="J3" s="8" t="s">
        <v>4</v>
      </c>
      <c r="K3" s="15"/>
      <c r="L3" s="8" t="s">
        <v>5</v>
      </c>
      <c r="M3" s="8" t="s">
        <v>2</v>
      </c>
      <c r="N3" s="8" t="s">
        <v>3</v>
      </c>
      <c r="O3" s="8" t="s">
        <v>4</v>
      </c>
      <c r="P3" s="8" t="s">
        <v>3</v>
      </c>
      <c r="Q3" s="8" t="s">
        <v>4</v>
      </c>
      <c r="S3" s="8" t="s">
        <v>4</v>
      </c>
    </row>
    <row r="4" spans="2:19">
      <c r="B4" s="145"/>
      <c r="C4" s="144"/>
      <c r="D4" s="144"/>
      <c r="E4" s="144"/>
      <c r="F4" s="15"/>
      <c r="G4" s="145"/>
      <c r="H4" s="146"/>
      <c r="I4" s="146"/>
      <c r="J4" s="146"/>
      <c r="K4" s="15"/>
      <c r="L4" s="72"/>
      <c r="M4" s="106"/>
      <c r="N4" s="106"/>
      <c r="O4" s="19"/>
      <c r="P4" s="106"/>
      <c r="Q4" s="19"/>
      <c r="R4" s="19"/>
      <c r="S4" s="22"/>
    </row>
    <row r="5" spans="2:19" ht="20.45" customHeight="1">
      <c r="B5" s="73"/>
      <c r="C5" s="167"/>
      <c r="D5" s="167"/>
      <c r="E5" s="167"/>
      <c r="F5" s="15"/>
      <c r="G5" s="73"/>
      <c r="H5" s="166"/>
      <c r="I5" s="166"/>
      <c r="J5" s="166"/>
      <c r="K5" s="15"/>
      <c r="L5" s="72">
        <v>2025</v>
      </c>
      <c r="M5" s="166">
        <v>2345000</v>
      </c>
      <c r="N5" s="166">
        <v>2466530</v>
      </c>
      <c r="O5" s="208">
        <v>2325000</v>
      </c>
      <c r="P5" s="166">
        <v>6400154</v>
      </c>
      <c r="Q5" s="208">
        <v>1050746.6000000001</v>
      </c>
      <c r="R5" s="208">
        <v>122190</v>
      </c>
      <c r="S5" s="166">
        <f t="shared" ref="S5:S36" si="0">M5+P5</f>
        <v>8745154</v>
      </c>
    </row>
    <row r="6" spans="2:19">
      <c r="B6" s="73" t="s">
        <v>56</v>
      </c>
      <c r="C6" s="167">
        <v>0</v>
      </c>
      <c r="D6" s="167">
        <v>369000</v>
      </c>
      <c r="E6" s="167">
        <f>SUM(C6:D6)</f>
        <v>369000</v>
      </c>
      <c r="F6" s="15"/>
      <c r="G6" s="73" t="s">
        <v>56</v>
      </c>
      <c r="H6" s="167">
        <v>9870000</v>
      </c>
      <c r="I6" s="167">
        <v>8608700</v>
      </c>
      <c r="J6" s="166">
        <f t="shared" ref="J6:J8" si="1">SUM(H6:I6)</f>
        <v>18478700</v>
      </c>
      <c r="K6" s="15"/>
      <c r="L6" s="72">
        <v>2026</v>
      </c>
      <c r="M6" s="106">
        <v>2365000</v>
      </c>
      <c r="N6" s="106">
        <v>2444117</v>
      </c>
      <c r="O6" s="19">
        <v>2345000</v>
      </c>
      <c r="P6" s="106">
        <v>6375204</v>
      </c>
      <c r="Q6" s="19">
        <v>864307.32</v>
      </c>
      <c r="R6" s="19">
        <v>117990</v>
      </c>
      <c r="S6" s="22">
        <f t="shared" si="0"/>
        <v>8740204</v>
      </c>
    </row>
    <row r="7" spans="2:19" ht="40.15" customHeight="1">
      <c r="B7" s="158" t="s">
        <v>72</v>
      </c>
      <c r="C7" s="74">
        <v>2345000</v>
      </c>
      <c r="D7" s="74">
        <v>1256904</v>
      </c>
      <c r="E7" s="74">
        <f>SUM(C7:D7)</f>
        <v>3601904</v>
      </c>
      <c r="F7" s="15"/>
      <c r="G7" s="158" t="s">
        <v>73</v>
      </c>
      <c r="H7" s="74">
        <v>53260000</v>
      </c>
      <c r="I7" s="22">
        <v>15147913</v>
      </c>
      <c r="J7" s="22">
        <f t="shared" si="1"/>
        <v>68407913</v>
      </c>
      <c r="K7" s="15"/>
      <c r="L7" s="72">
        <v>2027</v>
      </c>
      <c r="M7" s="106">
        <v>2400000</v>
      </c>
      <c r="N7" s="106"/>
      <c r="O7" s="19"/>
      <c r="P7" s="106">
        <v>6342945</v>
      </c>
      <c r="Q7" s="19"/>
      <c r="R7" s="19"/>
      <c r="S7" s="22">
        <f t="shared" si="0"/>
        <v>8742945</v>
      </c>
    </row>
    <row r="8" spans="2:19" ht="40.15" customHeight="1">
      <c r="B8" s="158" t="s">
        <v>88</v>
      </c>
      <c r="C8" s="74">
        <v>0</v>
      </c>
      <c r="D8" s="74">
        <v>3295900</v>
      </c>
      <c r="E8" s="74">
        <f>SUM(C8:D8)</f>
        <v>3295900</v>
      </c>
      <c r="F8" s="15"/>
      <c r="G8" s="158" t="s">
        <v>88</v>
      </c>
      <c r="H8" s="74">
        <v>151650345</v>
      </c>
      <c r="I8" s="22">
        <v>186928555</v>
      </c>
      <c r="J8" s="22">
        <f t="shared" si="1"/>
        <v>338578900</v>
      </c>
      <c r="K8" s="15"/>
      <c r="L8" s="72">
        <v>2028</v>
      </c>
      <c r="M8" s="106">
        <v>3475000</v>
      </c>
      <c r="N8" s="106">
        <v>2419167</v>
      </c>
      <c r="O8" s="19">
        <v>2575000</v>
      </c>
      <c r="P8" s="106">
        <v>6307809</v>
      </c>
      <c r="Q8" s="19">
        <v>702812.54</v>
      </c>
      <c r="R8" s="19">
        <v>112990</v>
      </c>
      <c r="S8" s="22">
        <f t="shared" si="0"/>
        <v>9782809</v>
      </c>
    </row>
    <row r="9" spans="2:19" ht="44.25" customHeight="1">
      <c r="B9" s="158" t="s">
        <v>89</v>
      </c>
      <c r="C9" s="74">
        <v>0</v>
      </c>
      <c r="D9" s="74">
        <v>1478350</v>
      </c>
      <c r="E9" s="74">
        <f>SUM(C9:D9)</f>
        <v>1478350</v>
      </c>
      <c r="F9" s="15"/>
      <c r="G9" s="158" t="s">
        <v>89</v>
      </c>
      <c r="H9" s="74">
        <v>63884707</v>
      </c>
      <c r="I9" s="22">
        <v>87152293</v>
      </c>
      <c r="J9" s="22">
        <f>SUM(H9:I9)</f>
        <v>151037000</v>
      </c>
      <c r="K9" s="15"/>
      <c r="L9" s="72">
        <v>2029</v>
      </c>
      <c r="M9" s="106">
        <v>4550000</v>
      </c>
      <c r="N9" s="106">
        <v>2379558</v>
      </c>
      <c r="O9" s="19">
        <v>2612000</v>
      </c>
      <c r="P9" s="106">
        <v>6214852</v>
      </c>
      <c r="Q9" s="19">
        <v>575929.32999999996</v>
      </c>
      <c r="R9" s="19">
        <v>107790</v>
      </c>
      <c r="S9" s="22">
        <f t="shared" si="0"/>
        <v>10764852</v>
      </c>
    </row>
    <row r="10" spans="2:19" ht="20.25" customHeight="1">
      <c r="B10" s="73"/>
      <c r="C10" s="74"/>
      <c r="D10" s="74"/>
      <c r="E10" s="74"/>
      <c r="F10" s="15"/>
      <c r="G10" s="73"/>
      <c r="H10" s="22"/>
      <c r="I10" s="22"/>
      <c r="J10" s="22"/>
      <c r="K10" s="15"/>
      <c r="L10" s="72">
        <v>2030</v>
      </c>
      <c r="M10" s="106">
        <v>6080000</v>
      </c>
      <c r="N10" s="106">
        <v>2337002</v>
      </c>
      <c r="O10" s="19">
        <v>2667000</v>
      </c>
      <c r="P10" s="106">
        <v>6066998</v>
      </c>
      <c r="Q10" s="19">
        <v>498463.62</v>
      </c>
      <c r="R10" s="19">
        <v>102052.5</v>
      </c>
      <c r="S10" s="22">
        <f t="shared" si="0"/>
        <v>12146998</v>
      </c>
    </row>
    <row r="11" spans="2:19" ht="24" customHeight="1">
      <c r="B11" s="77" t="s">
        <v>6</v>
      </c>
      <c r="C11" s="78">
        <f>SUM(C5:C10)</f>
        <v>2345000</v>
      </c>
      <c r="D11" s="78">
        <f>SUM(D5:D10)</f>
        <v>6400154</v>
      </c>
      <c r="E11" s="78">
        <f>SUM(E6:E10)</f>
        <v>8745154</v>
      </c>
      <c r="F11" s="15"/>
      <c r="G11" s="77" t="s">
        <v>7</v>
      </c>
      <c r="H11" s="79">
        <f>SUM(H5:H10)</f>
        <v>278665052</v>
      </c>
      <c r="I11" s="79">
        <f>SUM(I5:I10)</f>
        <v>297837461</v>
      </c>
      <c r="J11" s="79">
        <f>SUM(J5:J10)</f>
        <v>576502513</v>
      </c>
      <c r="K11" s="15"/>
      <c r="L11" s="72">
        <v>2031</v>
      </c>
      <c r="M11" s="106">
        <v>7480000</v>
      </c>
      <c r="N11" s="106">
        <v>2287925</v>
      </c>
      <c r="O11" s="19">
        <v>2730000</v>
      </c>
      <c r="P11" s="106">
        <v>5841571</v>
      </c>
      <c r="Q11" s="19">
        <v>450965.11</v>
      </c>
      <c r="R11" s="19">
        <v>96102.5</v>
      </c>
      <c r="S11" s="22">
        <f t="shared" si="0"/>
        <v>13321571</v>
      </c>
    </row>
    <row r="12" spans="2:19">
      <c r="J12" s="76"/>
      <c r="K12" s="15"/>
      <c r="L12" s="72">
        <v>2032</v>
      </c>
      <c r="M12" s="106">
        <v>8270000</v>
      </c>
      <c r="N12" s="106">
        <v>2234896</v>
      </c>
      <c r="O12" s="19">
        <v>2804000</v>
      </c>
      <c r="P12" s="106">
        <v>5545134</v>
      </c>
      <c r="Q12" s="19">
        <v>401729.1</v>
      </c>
      <c r="R12" s="19">
        <v>89940</v>
      </c>
      <c r="S12" s="22">
        <f t="shared" si="0"/>
        <v>13815134</v>
      </c>
    </row>
    <row r="13" spans="2:19">
      <c r="B13" s="111"/>
      <c r="C13" s="113"/>
      <c r="D13" s="76"/>
      <c r="E13" s="76"/>
      <c r="F13" s="112"/>
      <c r="G13" s="75"/>
      <c r="H13" s="76"/>
      <c r="I13" s="76"/>
      <c r="K13" s="15"/>
      <c r="L13" s="72">
        <v>2033</v>
      </c>
      <c r="M13" s="106">
        <v>9055000</v>
      </c>
      <c r="N13" s="106">
        <v>2177529</v>
      </c>
      <c r="O13" s="19">
        <v>2875000</v>
      </c>
      <c r="P13" s="106">
        <v>5208232</v>
      </c>
      <c r="Q13" s="19">
        <v>346777.5</v>
      </c>
      <c r="R13" s="19">
        <v>83352.5</v>
      </c>
      <c r="S13" s="22">
        <f t="shared" si="0"/>
        <v>14263232</v>
      </c>
    </row>
    <row r="14" spans="2:19" ht="21" customHeight="1">
      <c r="B14" s="113"/>
      <c r="C14" s="110"/>
      <c r="K14" s="15"/>
      <c r="L14" s="72">
        <v>2034</v>
      </c>
      <c r="M14" s="106">
        <v>9880000</v>
      </c>
      <c r="N14" s="106">
        <v>2115917</v>
      </c>
      <c r="O14" s="19">
        <v>2940000</v>
      </c>
      <c r="P14" s="106">
        <v>4832057</v>
      </c>
      <c r="Q14" s="19">
        <v>289577.5</v>
      </c>
      <c r="R14" s="19">
        <v>76552.5</v>
      </c>
      <c r="S14" s="22">
        <f t="shared" si="0"/>
        <v>14712057</v>
      </c>
    </row>
    <row r="15" spans="2:19" ht="20.25" customHeight="1">
      <c r="K15" s="15"/>
      <c r="L15" s="72">
        <v>2035</v>
      </c>
      <c r="M15" s="107">
        <v>10895000</v>
      </c>
      <c r="N15" s="107">
        <v>2050240</v>
      </c>
      <c r="O15" s="19">
        <v>2990000</v>
      </c>
      <c r="P15" s="107">
        <v>4413624</v>
      </c>
      <c r="Q15" s="19">
        <v>239165</v>
      </c>
      <c r="R15" s="19">
        <v>69540</v>
      </c>
      <c r="S15" s="22">
        <f t="shared" si="0"/>
        <v>15308624</v>
      </c>
    </row>
    <row r="16" spans="2:19">
      <c r="K16" s="15"/>
      <c r="L16" s="72">
        <v>2036</v>
      </c>
      <c r="M16" s="107">
        <v>11835000</v>
      </c>
      <c r="N16" s="107">
        <v>1982115</v>
      </c>
      <c r="O16" s="19">
        <v>3060000</v>
      </c>
      <c r="P16" s="107">
        <v>3943724</v>
      </c>
      <c r="Q16" s="19">
        <v>191952.5</v>
      </c>
      <c r="R16" s="19">
        <v>62102.5</v>
      </c>
      <c r="S16" s="22">
        <f t="shared" si="0"/>
        <v>15778724</v>
      </c>
    </row>
    <row r="17" spans="11:19">
      <c r="K17" s="15"/>
      <c r="L17" s="72">
        <v>2037</v>
      </c>
      <c r="M17" s="107">
        <v>12805000</v>
      </c>
      <c r="N17" s="107">
        <v>1909632</v>
      </c>
      <c r="O17" s="19">
        <v>3125000</v>
      </c>
      <c r="P17" s="107">
        <v>3411586</v>
      </c>
      <c r="Q17" s="19">
        <v>141202.5</v>
      </c>
      <c r="R17" s="19">
        <v>54452.5</v>
      </c>
      <c r="S17" s="22">
        <f t="shared" si="0"/>
        <v>16216586</v>
      </c>
    </row>
    <row r="18" spans="11:19">
      <c r="K18" s="15"/>
      <c r="L18" s="72">
        <v>2038</v>
      </c>
      <c r="M18" s="107">
        <v>13955000</v>
      </c>
      <c r="N18" s="19">
        <v>1833182</v>
      </c>
      <c r="O18" s="19">
        <v>3255000</v>
      </c>
      <c r="P18" s="107">
        <v>2931373</v>
      </c>
      <c r="Q18" s="19"/>
      <c r="R18" s="19"/>
      <c r="S18" s="22">
        <f t="shared" si="0"/>
        <v>16886373</v>
      </c>
    </row>
    <row r="19" spans="11:19">
      <c r="K19" s="15"/>
      <c r="L19" s="72">
        <v>2039</v>
      </c>
      <c r="M19" s="107">
        <v>14960000</v>
      </c>
      <c r="N19" s="19">
        <v>1736044</v>
      </c>
      <c r="O19" s="19">
        <v>3650000</v>
      </c>
      <c r="P19" s="107">
        <v>2406085</v>
      </c>
      <c r="Q19" s="19"/>
      <c r="R19" s="19"/>
      <c r="S19" s="22">
        <f t="shared" si="0"/>
        <v>17366085</v>
      </c>
    </row>
    <row r="20" spans="11:19">
      <c r="K20" s="15"/>
      <c r="L20" s="72">
        <v>2040</v>
      </c>
      <c r="M20" s="107">
        <v>16030000</v>
      </c>
      <c r="N20" s="19">
        <v>1625581</v>
      </c>
      <c r="O20" s="19">
        <v>3744000</v>
      </c>
      <c r="P20" s="107">
        <v>1841576</v>
      </c>
      <c r="Q20" s="19"/>
      <c r="R20" s="19"/>
      <c r="S20" s="22">
        <f t="shared" si="0"/>
        <v>17871576</v>
      </c>
    </row>
    <row r="21" spans="11:19">
      <c r="K21" s="15"/>
      <c r="L21" s="72">
        <v>2041</v>
      </c>
      <c r="M21" s="107">
        <v>17385000</v>
      </c>
      <c r="N21" s="19">
        <v>1512328</v>
      </c>
      <c r="O21" s="19">
        <v>4025000</v>
      </c>
      <c r="P21" s="107">
        <v>1235247</v>
      </c>
      <c r="Q21" s="19"/>
      <c r="R21" s="19"/>
      <c r="S21" s="22">
        <f t="shared" si="0"/>
        <v>18620247</v>
      </c>
    </row>
    <row r="22" spans="11:19">
      <c r="K22" s="15"/>
      <c r="L22" s="72">
        <v>2042</v>
      </c>
      <c r="M22" s="107">
        <v>10583969</v>
      </c>
      <c r="N22" s="19">
        <v>1389769</v>
      </c>
      <c r="O22" s="19">
        <v>4185000</v>
      </c>
      <c r="P22" s="107">
        <v>8604803</v>
      </c>
      <c r="Q22" s="19"/>
      <c r="R22" s="19"/>
      <c r="S22" s="22">
        <f t="shared" si="0"/>
        <v>19188772</v>
      </c>
    </row>
    <row r="23" spans="11:19">
      <c r="K23" s="15"/>
      <c r="L23" s="72">
        <v>2043</v>
      </c>
      <c r="M23" s="107">
        <v>10602665</v>
      </c>
      <c r="N23" s="19">
        <v>1262140</v>
      </c>
      <c r="O23" s="19">
        <v>4380000</v>
      </c>
      <c r="P23" s="107">
        <v>9165206</v>
      </c>
      <c r="Q23" s="19"/>
      <c r="R23" s="19"/>
      <c r="S23" s="22">
        <f t="shared" si="0"/>
        <v>19767871</v>
      </c>
    </row>
    <row r="24" spans="11:19">
      <c r="K24" s="15"/>
      <c r="L24" s="72">
        <v>2044</v>
      </c>
      <c r="M24" s="107">
        <v>8964858</v>
      </c>
      <c r="N24" s="19">
        <v>1126264</v>
      </c>
      <c r="O24" s="19">
        <v>4649000</v>
      </c>
      <c r="P24" s="107">
        <v>10734142</v>
      </c>
      <c r="Q24" s="19"/>
      <c r="R24" s="19"/>
      <c r="S24" s="22">
        <f t="shared" si="0"/>
        <v>19699000</v>
      </c>
    </row>
    <row r="25" spans="11:19">
      <c r="K25" s="15"/>
      <c r="L25" s="72">
        <v>2045</v>
      </c>
      <c r="M25" s="107">
        <v>8865409</v>
      </c>
      <c r="N25" s="19">
        <v>981474</v>
      </c>
      <c r="O25" s="19">
        <v>4805000</v>
      </c>
      <c r="P25" s="107">
        <v>11440491</v>
      </c>
      <c r="Q25" s="19"/>
      <c r="R25" s="19"/>
      <c r="S25" s="22">
        <f t="shared" si="0"/>
        <v>20305900</v>
      </c>
    </row>
    <row r="26" spans="11:19">
      <c r="K26" s="15"/>
      <c r="L26" s="72">
        <v>2046</v>
      </c>
      <c r="M26" s="107">
        <v>8756327</v>
      </c>
      <c r="N26" s="19">
        <v>831753</v>
      </c>
      <c r="O26" s="19">
        <v>2639000</v>
      </c>
      <c r="P26" s="107">
        <v>12080273</v>
      </c>
      <c r="Q26" s="19"/>
      <c r="R26" s="19"/>
      <c r="S26" s="22">
        <f t="shared" si="0"/>
        <v>20836600</v>
      </c>
    </row>
    <row r="27" spans="11:19">
      <c r="K27" s="15"/>
      <c r="L27" s="72">
        <v>2047</v>
      </c>
      <c r="M27" s="107">
        <v>8793776</v>
      </c>
      <c r="N27" s="19">
        <v>745738</v>
      </c>
      <c r="O27" s="19">
        <v>2728000</v>
      </c>
      <c r="P27" s="107">
        <v>12849024</v>
      </c>
      <c r="Q27" s="19"/>
      <c r="R27" s="19"/>
      <c r="S27" s="22">
        <f t="shared" si="0"/>
        <v>21642800</v>
      </c>
    </row>
    <row r="28" spans="11:19">
      <c r="K28" s="15"/>
      <c r="L28" s="72">
        <v>2048</v>
      </c>
      <c r="M28" s="107">
        <v>8738234</v>
      </c>
      <c r="N28" s="19">
        <v>656808</v>
      </c>
      <c r="O28" s="19">
        <v>2810000</v>
      </c>
      <c r="P28" s="107">
        <v>13483566</v>
      </c>
      <c r="Q28" s="19"/>
      <c r="R28" s="19"/>
      <c r="S28" s="22">
        <f t="shared" si="0"/>
        <v>22221800</v>
      </c>
    </row>
    <row r="29" spans="11:19">
      <c r="K29" s="15"/>
      <c r="L29" s="72">
        <v>2049</v>
      </c>
      <c r="M29" s="107">
        <v>8697930</v>
      </c>
      <c r="N29" s="19">
        <v>551733</v>
      </c>
      <c r="O29" s="19">
        <v>2990000</v>
      </c>
      <c r="P29" s="107">
        <v>14155670</v>
      </c>
      <c r="Q29" s="19"/>
      <c r="R29" s="19"/>
      <c r="S29" s="22">
        <f t="shared" si="0"/>
        <v>22853600</v>
      </c>
    </row>
    <row r="30" spans="11:19">
      <c r="K30" s="15"/>
      <c r="L30" s="72">
        <v>2050</v>
      </c>
      <c r="M30" s="107">
        <v>8729680</v>
      </c>
      <c r="N30" s="19">
        <v>440083</v>
      </c>
      <c r="O30" s="19">
        <v>3205000</v>
      </c>
      <c r="P30" s="197">
        <v>15003320</v>
      </c>
      <c r="Q30" s="19"/>
      <c r="R30" s="19"/>
      <c r="S30" s="22">
        <f t="shared" si="0"/>
        <v>23733000</v>
      </c>
    </row>
    <row r="31" spans="11:19">
      <c r="K31" s="15"/>
      <c r="L31" s="72">
        <v>2051</v>
      </c>
      <c r="M31" s="107">
        <v>7331985</v>
      </c>
      <c r="N31" s="19">
        <v>320633</v>
      </c>
      <c r="O31" s="19">
        <v>3315000</v>
      </c>
      <c r="P31" s="107">
        <v>16343016</v>
      </c>
      <c r="Q31" s="19"/>
      <c r="R31" s="19"/>
      <c r="S31" s="22">
        <f t="shared" si="0"/>
        <v>23675001</v>
      </c>
    </row>
    <row r="32" spans="11:19">
      <c r="K32" s="15"/>
      <c r="L32" s="72">
        <v>2052</v>
      </c>
      <c r="M32" s="107">
        <v>7185315</v>
      </c>
      <c r="N32" s="19">
        <v>197033</v>
      </c>
      <c r="O32" s="19">
        <v>3425000</v>
      </c>
      <c r="P32" s="107">
        <v>17159685</v>
      </c>
      <c r="Q32" s="19"/>
      <c r="R32" s="19"/>
      <c r="S32" s="22">
        <f t="shared" si="0"/>
        <v>24345000</v>
      </c>
    </row>
    <row r="33" spans="2:19">
      <c r="K33" s="15"/>
      <c r="L33" s="72">
        <v>2053</v>
      </c>
      <c r="M33" s="107">
        <v>7109446</v>
      </c>
      <c r="N33" s="19">
        <v>69279</v>
      </c>
      <c r="O33" s="19">
        <v>1979510</v>
      </c>
      <c r="P33" s="107">
        <v>18105554</v>
      </c>
      <c r="Q33" s="19"/>
      <c r="R33" s="19"/>
      <c r="S33" s="22">
        <f t="shared" si="0"/>
        <v>25215000</v>
      </c>
    </row>
    <row r="34" spans="2:19">
      <c r="K34" s="15"/>
      <c r="L34" s="72">
        <v>2054</v>
      </c>
      <c r="M34" s="107">
        <v>6977333</v>
      </c>
      <c r="N34" s="19"/>
      <c r="O34" s="19"/>
      <c r="P34" s="107">
        <v>18932668</v>
      </c>
      <c r="Q34" s="19"/>
      <c r="R34" s="19"/>
      <c r="S34" s="22">
        <f t="shared" si="0"/>
        <v>25910001</v>
      </c>
    </row>
    <row r="35" spans="2:19">
      <c r="K35" s="15"/>
      <c r="L35" s="72">
        <v>2055</v>
      </c>
      <c r="M35" s="107">
        <v>6837360</v>
      </c>
      <c r="N35" s="19"/>
      <c r="O35" s="19"/>
      <c r="P35" s="107">
        <v>19757640</v>
      </c>
      <c r="Q35" s="19"/>
      <c r="R35" s="19"/>
      <c r="S35" s="22">
        <f t="shared" si="0"/>
        <v>26595000</v>
      </c>
    </row>
    <row r="36" spans="2:19">
      <c r="K36" s="15"/>
      <c r="L36" s="72">
        <v>2056</v>
      </c>
      <c r="M36" s="107">
        <v>6725765</v>
      </c>
      <c r="N36" s="19"/>
      <c r="O36" s="19"/>
      <c r="P36" s="107">
        <v>20704232</v>
      </c>
      <c r="Q36" s="19"/>
      <c r="R36" s="19"/>
      <c r="S36" s="22">
        <f t="shared" si="0"/>
        <v>27429997</v>
      </c>
    </row>
    <row r="37" spans="2:19">
      <c r="K37" s="15"/>
    </row>
    <row r="38" spans="2:19">
      <c r="K38" s="15"/>
      <c r="L38" s="72"/>
      <c r="M38" s="107"/>
      <c r="N38" s="19"/>
      <c r="O38" s="19"/>
      <c r="P38" s="107"/>
      <c r="Q38" s="19"/>
      <c r="R38" s="19"/>
      <c r="S38" s="22"/>
    </row>
    <row r="39" spans="2:19">
      <c r="K39" s="15"/>
      <c r="L39" s="72"/>
      <c r="M39" s="107"/>
      <c r="N39" s="19"/>
      <c r="O39" s="19"/>
      <c r="P39" s="107"/>
      <c r="Q39" s="19"/>
      <c r="R39" s="19"/>
      <c r="S39" s="22"/>
    </row>
    <row r="40" spans="2:19">
      <c r="K40" s="15"/>
      <c r="L40" s="196"/>
      <c r="M40" s="170"/>
      <c r="N40" s="19"/>
      <c r="O40" s="19"/>
      <c r="P40" s="170"/>
      <c r="Q40" s="19"/>
      <c r="R40" s="19"/>
      <c r="S40" s="19"/>
    </row>
    <row r="41" spans="2:19">
      <c r="K41" s="15"/>
    </row>
    <row r="42" spans="2:19">
      <c r="K42" s="15"/>
      <c r="L42" s="80" t="s">
        <v>41</v>
      </c>
      <c r="M42" s="81">
        <f>SUM(M4:M36)</f>
        <v>278665052</v>
      </c>
      <c r="N42" s="81">
        <f>SUM(N4:N34)</f>
        <v>42084470</v>
      </c>
      <c r="O42" s="81">
        <f>SUM(O4:O34)</f>
        <v>88832510</v>
      </c>
      <c r="P42" s="81">
        <f>SUM(P4:P36)</f>
        <v>297837461</v>
      </c>
      <c r="Q42" s="81">
        <f>SUM(Q4:Q34)</f>
        <v>5753628.6200000001</v>
      </c>
      <c r="R42" s="81">
        <f>SUM(R4:R34)</f>
        <v>1095055</v>
      </c>
      <c r="S42" s="81">
        <f>SUM(S4:S36)</f>
        <v>576502513</v>
      </c>
    </row>
    <row r="43" spans="2:19">
      <c r="K43" s="15"/>
    </row>
    <row r="44" spans="2:19" ht="7.5" customHeight="1">
      <c r="B44" s="16"/>
      <c r="C44" s="15"/>
      <c r="D44" s="15"/>
      <c r="E44" s="15"/>
      <c r="F44" s="15"/>
      <c r="K44" s="15"/>
    </row>
    <row r="45" spans="2:19">
      <c r="B45" s="23"/>
      <c r="C45" s="15"/>
      <c r="D45" s="15"/>
      <c r="E45" s="15"/>
      <c r="F45" s="15"/>
      <c r="K45" s="15"/>
    </row>
    <row r="46" spans="2:19">
      <c r="B46" s="16"/>
      <c r="C46" s="15"/>
      <c r="D46" s="15"/>
      <c r="E46" s="15"/>
      <c r="F46" s="15"/>
      <c r="K46" s="15"/>
    </row>
    <row r="47" spans="2:19">
      <c r="K47"/>
      <c r="L47"/>
      <c r="M47"/>
      <c r="N47"/>
      <c r="O47"/>
      <c r="P47"/>
      <c r="Q47"/>
      <c r="R47"/>
      <c r="S47"/>
    </row>
    <row r="48" spans="2:19">
      <c r="K48"/>
      <c r="L48"/>
      <c r="M48"/>
      <c r="N48"/>
      <c r="O48"/>
      <c r="P48"/>
      <c r="Q48"/>
      <c r="R48"/>
      <c r="S48"/>
    </row>
    <row r="49" spans="2:31">
      <c r="K49"/>
      <c r="L49"/>
      <c r="M49"/>
      <c r="N49"/>
      <c r="O49"/>
      <c r="P49"/>
      <c r="Q49"/>
      <c r="R49"/>
      <c r="S49"/>
    </row>
    <row r="50" spans="2:31">
      <c r="K50"/>
      <c r="L50"/>
      <c r="M50"/>
      <c r="N50"/>
      <c r="O50"/>
      <c r="P50"/>
      <c r="Q50"/>
      <c r="R50"/>
      <c r="S50"/>
    </row>
    <row r="51" spans="2:31">
      <c r="K51"/>
      <c r="L51"/>
      <c r="M51"/>
      <c r="N51"/>
      <c r="O51"/>
      <c r="P51"/>
      <c r="Q51"/>
      <c r="R51"/>
      <c r="S51"/>
      <c r="T51" s="21"/>
    </row>
    <row r="52" spans="2:31">
      <c r="K52" s="15"/>
    </row>
    <row r="53" spans="2:31">
      <c r="K53" s="15"/>
    </row>
    <row r="54" spans="2:31">
      <c r="F54" s="15"/>
      <c r="K54" s="15"/>
    </row>
    <row r="55" spans="2:31">
      <c r="F55" s="15"/>
      <c r="K55" s="15"/>
    </row>
    <row r="56" spans="2:31">
      <c r="B56" s="109"/>
      <c r="F56" s="15"/>
      <c r="K56" s="15"/>
    </row>
    <row r="57" spans="2:31">
      <c r="F57" s="15"/>
      <c r="K57" s="15"/>
    </row>
    <row r="58" spans="2:31">
      <c r="F58" s="15"/>
      <c r="K58" s="15"/>
    </row>
    <row r="59" spans="2:31">
      <c r="F59" s="15"/>
      <c r="G59" s="15"/>
      <c r="H59" s="15"/>
      <c r="I59" s="15"/>
      <c r="J59" s="15"/>
      <c r="K59" s="15"/>
    </row>
    <row r="60" spans="2:31">
      <c r="B60" s="15"/>
      <c r="C60" s="15"/>
      <c r="D60" s="15"/>
      <c r="E60" s="15"/>
      <c r="F60" s="15"/>
      <c r="G60" s="15"/>
      <c r="H60" s="15"/>
      <c r="I60" s="15"/>
      <c r="J60" s="15"/>
      <c r="K60" s="15"/>
      <c r="L60" s="15"/>
      <c r="M60" s="15"/>
      <c r="N60" s="15"/>
      <c r="O60" s="15"/>
      <c r="P60" s="15"/>
      <c r="Q60" s="15"/>
      <c r="R60" s="15"/>
      <c r="S60" s="15"/>
      <c r="T60" s="15"/>
      <c r="U60" s="15"/>
      <c r="V60" s="15"/>
      <c r="W60" s="15"/>
    </row>
    <row r="61" spans="2:31">
      <c r="B61" s="15"/>
      <c r="C61" s="15"/>
      <c r="D61" s="15"/>
      <c r="E61" s="15"/>
      <c r="F61" s="15"/>
      <c r="G61" s="15"/>
      <c r="H61" s="15"/>
      <c r="I61" s="15"/>
      <c r="J61" s="15"/>
      <c r="K61" s="15"/>
      <c r="L61" s="15"/>
      <c r="M61" s="15"/>
      <c r="N61" s="15"/>
      <c r="O61" s="15"/>
      <c r="P61" s="15"/>
      <c r="Q61" s="15"/>
      <c r="R61" s="15"/>
      <c r="S61" s="15"/>
      <c r="T61" s="15"/>
      <c r="U61" s="15"/>
      <c r="V61" s="15"/>
      <c r="W61" s="15"/>
    </row>
    <row r="62" spans="2:31">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row>
    <row r="63" spans="2:31">
      <c r="B63" s="15"/>
      <c r="C63" s="15"/>
      <c r="D63" s="15"/>
      <c r="E63" s="15"/>
      <c r="F63" s="15"/>
      <c r="G63" s="15"/>
      <c r="H63" s="15"/>
      <c r="I63" s="15"/>
      <c r="J63" s="15"/>
      <c r="K63" s="15"/>
      <c r="S63" s="15"/>
      <c r="T63" s="15"/>
      <c r="AA63" s="15"/>
      <c r="AB63" s="15"/>
    </row>
    <row r="64" spans="2:31">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row>
    <row r="65" spans="2:3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row>
    <row r="66" spans="2:31">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row>
    <row r="67" spans="2:31">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row>
    <row r="68" spans="2:31">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row>
    <row r="69" spans="2:31">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row>
    <row r="70" spans="2:31">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row>
    <row r="71" spans="2:31">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row>
    <row r="72" spans="2:31">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row>
    <row r="73" spans="2:31">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row>
    <row r="74" spans="2:31">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row>
    <row r="75" spans="2:31">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row>
    <row r="76" spans="2:31">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row>
    <row r="77" spans="2:31">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row>
    <row r="78" spans="2:31">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row>
    <row r="79" spans="2:31">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row>
    <row r="80" spans="2:31">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row>
    <row r="81" spans="2:31">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row>
    <row r="82" spans="2:31">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row>
    <row r="83" spans="2:31">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row>
    <row r="84" spans="2:31">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row>
    <row r="85" spans="2:31">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row>
    <row r="86" spans="2:31">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row>
    <row r="87" spans="2:31">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row>
    <row r="88" spans="2:31">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row>
  </sheetData>
  <mergeCells count="2">
    <mergeCell ref="L1:S1"/>
    <mergeCell ref="L2:S2"/>
  </mergeCells>
  <pageMargins left="0.7" right="0.7" top="0.75" bottom="0.75" header="0.3" footer="0.3"/>
  <pageSetup scale="46" pageOrder="overThenDown"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293"/>
  <sheetViews>
    <sheetView zoomScaleNormal="100" workbookViewId="0">
      <selection activeCell="D67" sqref="D67:G67"/>
    </sheetView>
  </sheetViews>
  <sheetFormatPr defaultColWidth="9.140625" defaultRowHeight="15"/>
  <cols>
    <col min="1" max="1" width="9.140625" style="14"/>
    <col min="2" max="2" width="5.85546875" style="44" customWidth="1"/>
    <col min="3" max="3" width="7" style="44" bestFit="1" customWidth="1"/>
    <col min="4" max="4" width="18.42578125" style="44" bestFit="1" customWidth="1"/>
    <col min="5" max="5" width="9.7109375" style="44" customWidth="1"/>
    <col min="6" max="6" width="10.5703125" style="44" hidden="1" customWidth="1"/>
    <col min="7" max="7" width="17" style="44" bestFit="1" customWidth="1"/>
    <col min="8" max="8" width="16.28515625" style="44" bestFit="1" customWidth="1"/>
    <col min="9" max="9" width="16.85546875" style="44" bestFit="1" customWidth="1"/>
    <col min="10" max="16384" width="9.140625" style="14"/>
  </cols>
  <sheetData>
    <row r="2" spans="2:9">
      <c r="B2" s="222" t="s">
        <v>34</v>
      </c>
      <c r="C2" s="222"/>
      <c r="D2" s="222"/>
      <c r="E2" s="222"/>
      <c r="F2" s="222"/>
      <c r="G2" s="222"/>
      <c r="H2" s="222"/>
      <c r="I2" s="222"/>
    </row>
    <row r="3" spans="2:9">
      <c r="B3" s="222" t="s">
        <v>23</v>
      </c>
      <c r="C3" s="222"/>
      <c r="D3" s="222"/>
      <c r="E3" s="222"/>
      <c r="F3" s="222"/>
      <c r="G3" s="222"/>
      <c r="H3" s="222"/>
      <c r="I3" s="222"/>
    </row>
    <row r="4" spans="2:9">
      <c r="B4" s="222" t="s">
        <v>57</v>
      </c>
      <c r="C4" s="222"/>
      <c r="D4" s="222"/>
      <c r="E4" s="222"/>
      <c r="F4" s="222"/>
      <c r="G4" s="222"/>
      <c r="H4" s="222"/>
      <c r="I4" s="222"/>
    </row>
    <row r="5" spans="2:9">
      <c r="B5" s="222" t="s">
        <v>58</v>
      </c>
      <c r="C5" s="222"/>
      <c r="D5" s="222"/>
      <c r="E5" s="222"/>
      <c r="F5" s="222"/>
      <c r="G5" s="222"/>
      <c r="H5" s="222"/>
      <c r="I5" s="222"/>
    </row>
    <row r="6" spans="2:9">
      <c r="B6" s="56" t="s">
        <v>68</v>
      </c>
      <c r="C6" s="45"/>
      <c r="D6" s="45"/>
      <c r="E6" s="45"/>
      <c r="F6" s="45"/>
      <c r="G6" s="45"/>
      <c r="H6" s="45"/>
      <c r="I6" s="45"/>
    </row>
    <row r="7" spans="2:9">
      <c r="B7" s="56" t="s">
        <v>69</v>
      </c>
      <c r="C7" s="57"/>
      <c r="D7" s="57"/>
      <c r="E7" s="57"/>
      <c r="F7" s="57"/>
      <c r="G7" s="57"/>
      <c r="H7" s="57"/>
      <c r="I7" s="57"/>
    </row>
    <row r="8" spans="2:9">
      <c r="B8" s="49"/>
      <c r="C8" s="50"/>
      <c r="D8" s="46"/>
      <c r="E8" s="47"/>
      <c r="F8" s="48" t="s">
        <v>15</v>
      </c>
      <c r="G8" s="46"/>
      <c r="H8" s="46"/>
      <c r="I8" s="46"/>
    </row>
    <row r="9" spans="2:9">
      <c r="B9" s="223" t="s">
        <v>19</v>
      </c>
      <c r="C9" s="223"/>
      <c r="D9" s="51" t="s">
        <v>14</v>
      </c>
      <c r="E9" s="52" t="s">
        <v>20</v>
      </c>
      <c r="F9" s="51" t="s">
        <v>21</v>
      </c>
      <c r="G9" s="51" t="s">
        <v>15</v>
      </c>
      <c r="H9" s="51" t="s">
        <v>16</v>
      </c>
      <c r="I9" s="51" t="s">
        <v>22</v>
      </c>
    </row>
    <row r="10" spans="2:9">
      <c r="B10" s="58"/>
      <c r="C10" s="39"/>
      <c r="D10" s="82"/>
      <c r="E10" s="105"/>
      <c r="F10" s="82">
        <f t="shared" ref="F10" si="0">ROUND(+D10*E10/2,2)</f>
        <v>0</v>
      </c>
      <c r="G10" s="82"/>
      <c r="H10" s="82"/>
      <c r="I10" s="82"/>
    </row>
    <row r="11" spans="2:9" hidden="1">
      <c r="B11" s="58" t="s">
        <v>45</v>
      </c>
      <c r="D11" s="83"/>
      <c r="E11" s="105"/>
      <c r="F11" s="82">
        <f t="shared" ref="F11" si="1">ROUND(+D11*E11/2,2)</f>
        <v>0</v>
      </c>
      <c r="G11" s="168"/>
      <c r="H11" s="168">
        <f t="shared" ref="H11:H64" si="2">+G11+D11</f>
        <v>0</v>
      </c>
      <c r="I11" s="149"/>
    </row>
    <row r="12" spans="2:9" hidden="1">
      <c r="B12" s="58" t="s">
        <v>46</v>
      </c>
      <c r="C12" s="39">
        <v>2024</v>
      </c>
      <c r="D12" s="82"/>
      <c r="E12" s="105">
        <v>0.03</v>
      </c>
      <c r="F12" s="82"/>
      <c r="G12" s="149"/>
      <c r="H12" s="149">
        <f t="shared" si="2"/>
        <v>0</v>
      </c>
      <c r="I12" s="149"/>
    </row>
    <row r="13" spans="2:9">
      <c r="B13" s="58" t="s">
        <v>45</v>
      </c>
      <c r="D13" s="83"/>
      <c r="E13" s="105"/>
      <c r="F13" s="82">
        <f>ROUND(+D13*E13/2,2)</f>
        <v>0</v>
      </c>
      <c r="G13" s="168">
        <v>184500</v>
      </c>
      <c r="H13" s="168">
        <f t="shared" si="2"/>
        <v>184500</v>
      </c>
      <c r="I13" s="149"/>
    </row>
    <row r="14" spans="2:9">
      <c r="B14" s="58" t="s">
        <v>46</v>
      </c>
      <c r="C14" s="39">
        <v>2025</v>
      </c>
      <c r="D14" s="82"/>
      <c r="E14" s="105">
        <v>0.03</v>
      </c>
      <c r="F14" s="82"/>
      <c r="G14" s="149">
        <f t="shared" ref="G14:G52" si="3">+G13-F13</f>
        <v>184500</v>
      </c>
      <c r="H14" s="149">
        <f t="shared" si="2"/>
        <v>184500</v>
      </c>
      <c r="I14" s="168">
        <f>H13+H14</f>
        <v>369000</v>
      </c>
    </row>
    <row r="15" spans="2:9">
      <c r="B15" s="58" t="s">
        <v>45</v>
      </c>
      <c r="D15" s="83"/>
      <c r="E15" s="105"/>
      <c r="F15" s="82">
        <f>ROUND(+D15*E15/2,2)</f>
        <v>0</v>
      </c>
      <c r="G15" s="149">
        <f t="shared" si="3"/>
        <v>184500</v>
      </c>
      <c r="H15" s="149">
        <f t="shared" si="2"/>
        <v>184500</v>
      </c>
      <c r="I15" s="149"/>
    </row>
    <row r="16" spans="2:9">
      <c r="B16" s="58" t="s">
        <v>46</v>
      </c>
      <c r="C16" s="39">
        <v>2026</v>
      </c>
      <c r="D16" s="82"/>
      <c r="E16" s="105">
        <v>0.03</v>
      </c>
      <c r="F16" s="82"/>
      <c r="G16" s="149">
        <f t="shared" si="3"/>
        <v>184500</v>
      </c>
      <c r="H16" s="149">
        <f t="shared" si="2"/>
        <v>184500</v>
      </c>
      <c r="I16" s="149">
        <f>H15+H16</f>
        <v>369000</v>
      </c>
    </row>
    <row r="17" spans="2:9">
      <c r="B17" s="58" t="s">
        <v>45</v>
      </c>
      <c r="D17" s="83"/>
      <c r="E17" s="105"/>
      <c r="F17" s="82">
        <f>ROUND(+D17*E17/2,2)</f>
        <v>0</v>
      </c>
      <c r="G17" s="149">
        <f t="shared" si="3"/>
        <v>184500</v>
      </c>
      <c r="H17" s="149">
        <f t="shared" si="2"/>
        <v>184500</v>
      </c>
      <c r="I17" s="149"/>
    </row>
    <row r="18" spans="2:9">
      <c r="B18" s="58" t="s">
        <v>46</v>
      </c>
      <c r="C18" s="39">
        <v>2027</v>
      </c>
      <c r="D18" s="82"/>
      <c r="E18" s="105">
        <v>0.03</v>
      </c>
      <c r="F18" s="82"/>
      <c r="G18" s="149">
        <f t="shared" si="3"/>
        <v>184500</v>
      </c>
      <c r="H18" s="149">
        <f t="shared" si="2"/>
        <v>184500</v>
      </c>
      <c r="I18" s="149">
        <f>H17+H18</f>
        <v>369000</v>
      </c>
    </row>
    <row r="19" spans="2:9">
      <c r="B19" s="58" t="s">
        <v>45</v>
      </c>
      <c r="D19" s="83"/>
      <c r="E19" s="105"/>
      <c r="F19" s="82">
        <f>ROUND(+D19*E19/2,2)</f>
        <v>0</v>
      </c>
      <c r="G19" s="149">
        <f t="shared" si="3"/>
        <v>184500</v>
      </c>
      <c r="H19" s="149">
        <f t="shared" si="2"/>
        <v>184500</v>
      </c>
      <c r="I19" s="149"/>
    </row>
    <row r="20" spans="2:9">
      <c r="B20" s="58" t="s">
        <v>46</v>
      </c>
      <c r="C20" s="39">
        <v>2028</v>
      </c>
      <c r="D20" s="82"/>
      <c r="E20" s="105">
        <v>0.03</v>
      </c>
      <c r="F20" s="82"/>
      <c r="G20" s="149">
        <f t="shared" si="3"/>
        <v>184500</v>
      </c>
      <c r="H20" s="149">
        <f t="shared" si="2"/>
        <v>184500</v>
      </c>
      <c r="I20" s="149">
        <f>H19+H20</f>
        <v>369000</v>
      </c>
    </row>
    <row r="21" spans="2:9">
      <c r="B21" s="58" t="s">
        <v>45</v>
      </c>
      <c r="D21" s="83"/>
      <c r="E21" s="105"/>
      <c r="F21" s="82">
        <f>ROUND(+D21*E21/2,2)</f>
        <v>0</v>
      </c>
      <c r="G21" s="149">
        <f t="shared" si="3"/>
        <v>184500</v>
      </c>
      <c r="H21" s="149">
        <f t="shared" si="2"/>
        <v>184500</v>
      </c>
      <c r="I21" s="149"/>
    </row>
    <row r="22" spans="2:9">
      <c r="B22" s="58" t="s">
        <v>46</v>
      </c>
      <c r="C22" s="39">
        <v>2029</v>
      </c>
      <c r="D22" s="82"/>
      <c r="E22" s="105">
        <v>0.03</v>
      </c>
      <c r="F22" s="82"/>
      <c r="G22" s="149">
        <f t="shared" si="3"/>
        <v>184500</v>
      </c>
      <c r="H22" s="149">
        <f t="shared" si="2"/>
        <v>184500</v>
      </c>
      <c r="I22" s="149">
        <f>H21+H22</f>
        <v>369000</v>
      </c>
    </row>
    <row r="23" spans="2:9">
      <c r="B23" s="58" t="s">
        <v>45</v>
      </c>
      <c r="D23" s="83"/>
      <c r="E23" s="105"/>
      <c r="F23" s="82">
        <f>ROUND(+D23*E23/2,2)</f>
        <v>0</v>
      </c>
      <c r="G23" s="149">
        <f t="shared" si="3"/>
        <v>184500</v>
      </c>
      <c r="H23" s="149">
        <f t="shared" si="2"/>
        <v>184500</v>
      </c>
      <c r="I23" s="149"/>
    </row>
    <row r="24" spans="2:9">
      <c r="B24" s="58" t="s">
        <v>46</v>
      </c>
      <c r="C24" s="39">
        <v>2030</v>
      </c>
      <c r="D24" s="82"/>
      <c r="E24" s="105">
        <v>0.03</v>
      </c>
      <c r="F24" s="82"/>
      <c r="G24" s="149">
        <f t="shared" si="3"/>
        <v>184500</v>
      </c>
      <c r="H24" s="149">
        <f t="shared" si="2"/>
        <v>184500</v>
      </c>
      <c r="I24" s="149">
        <f>H23+H24</f>
        <v>369000</v>
      </c>
    </row>
    <row r="25" spans="2:9">
      <c r="B25" s="58" t="s">
        <v>45</v>
      </c>
      <c r="D25" s="83"/>
      <c r="E25" s="105"/>
      <c r="F25" s="82">
        <f>ROUND(+D25*E25/2,2)</f>
        <v>0</v>
      </c>
      <c r="G25" s="149">
        <f t="shared" si="3"/>
        <v>184500</v>
      </c>
      <c r="H25" s="149">
        <f t="shared" si="2"/>
        <v>184500</v>
      </c>
      <c r="I25" s="149"/>
    </row>
    <row r="26" spans="2:9">
      <c r="B26" s="58" t="s">
        <v>46</v>
      </c>
      <c r="C26" s="39">
        <v>2031</v>
      </c>
      <c r="D26" s="82"/>
      <c r="E26" s="105">
        <v>0.03</v>
      </c>
      <c r="F26" s="82"/>
      <c r="G26" s="149">
        <f t="shared" si="3"/>
        <v>184500</v>
      </c>
      <c r="H26" s="149">
        <f t="shared" si="2"/>
        <v>184500</v>
      </c>
      <c r="I26" s="149">
        <f>H25+H26</f>
        <v>369000</v>
      </c>
    </row>
    <row r="27" spans="2:9">
      <c r="B27" s="58" t="s">
        <v>45</v>
      </c>
      <c r="D27" s="83"/>
      <c r="E27" s="105"/>
      <c r="F27" s="82">
        <f>ROUND(+D27*E27/2,2)</f>
        <v>0</v>
      </c>
      <c r="G27" s="149">
        <f t="shared" si="3"/>
        <v>184500</v>
      </c>
      <c r="H27" s="149">
        <f t="shared" si="2"/>
        <v>184500</v>
      </c>
      <c r="I27" s="149"/>
    </row>
    <row r="28" spans="2:9">
      <c r="B28" s="58" t="s">
        <v>46</v>
      </c>
      <c r="C28" s="39">
        <v>2032</v>
      </c>
      <c r="D28" s="82"/>
      <c r="E28" s="105">
        <v>0.03</v>
      </c>
      <c r="F28" s="82"/>
      <c r="G28" s="149">
        <f t="shared" si="3"/>
        <v>184500</v>
      </c>
      <c r="H28" s="149">
        <f t="shared" si="2"/>
        <v>184500</v>
      </c>
      <c r="I28" s="149">
        <f>H27+H28</f>
        <v>369000</v>
      </c>
    </row>
    <row r="29" spans="2:9">
      <c r="B29" s="58" t="s">
        <v>45</v>
      </c>
      <c r="D29" s="83"/>
      <c r="E29" s="105"/>
      <c r="F29" s="82">
        <f>ROUND(+D29*E29/2,2)</f>
        <v>0</v>
      </c>
      <c r="G29" s="149">
        <f t="shared" si="3"/>
        <v>184500</v>
      </c>
      <c r="H29" s="149">
        <f t="shared" si="2"/>
        <v>184500</v>
      </c>
      <c r="I29" s="149"/>
    </row>
    <row r="30" spans="2:9">
      <c r="B30" s="58" t="s">
        <v>46</v>
      </c>
      <c r="C30" s="39">
        <v>2033</v>
      </c>
      <c r="D30" s="82"/>
      <c r="E30" s="105">
        <v>0.03</v>
      </c>
      <c r="F30" s="82"/>
      <c r="G30" s="149">
        <f t="shared" si="3"/>
        <v>184500</v>
      </c>
      <c r="H30" s="149">
        <f t="shared" si="2"/>
        <v>184500</v>
      </c>
      <c r="I30" s="149">
        <f>H29+H30</f>
        <v>369000</v>
      </c>
    </row>
    <row r="31" spans="2:9">
      <c r="B31" s="58" t="s">
        <v>45</v>
      </c>
      <c r="D31" s="83"/>
      <c r="E31" s="105"/>
      <c r="F31" s="82">
        <f>ROUND(+D31*E31/2,2)</f>
        <v>0</v>
      </c>
      <c r="G31" s="149">
        <f t="shared" si="3"/>
        <v>184500</v>
      </c>
      <c r="H31" s="149">
        <f t="shared" si="2"/>
        <v>184500</v>
      </c>
      <c r="I31" s="149"/>
    </row>
    <row r="32" spans="2:9">
      <c r="B32" s="58" t="s">
        <v>46</v>
      </c>
      <c r="C32" s="39">
        <v>2034</v>
      </c>
      <c r="D32" s="82"/>
      <c r="E32" s="105">
        <v>0.03</v>
      </c>
      <c r="F32" s="82"/>
      <c r="G32" s="149">
        <f t="shared" si="3"/>
        <v>184500</v>
      </c>
      <c r="H32" s="149">
        <f t="shared" si="2"/>
        <v>184500</v>
      </c>
      <c r="I32" s="149">
        <f>H31+H32</f>
        <v>369000</v>
      </c>
    </row>
    <row r="33" spans="2:9">
      <c r="B33" s="58" t="s">
        <v>45</v>
      </c>
      <c r="D33" s="83"/>
      <c r="E33" s="105"/>
      <c r="F33" s="82">
        <f>ROUND(+D33*E33/2,2)</f>
        <v>0</v>
      </c>
      <c r="G33" s="149">
        <f t="shared" si="3"/>
        <v>184500</v>
      </c>
      <c r="H33" s="149">
        <f t="shared" si="2"/>
        <v>184500</v>
      </c>
      <c r="I33" s="149"/>
    </row>
    <row r="34" spans="2:9">
      <c r="B34" s="58" t="s">
        <v>46</v>
      </c>
      <c r="C34" s="39">
        <v>2035</v>
      </c>
      <c r="D34" s="82"/>
      <c r="E34" s="105">
        <v>0.03</v>
      </c>
      <c r="F34" s="82"/>
      <c r="G34" s="149">
        <f t="shared" si="3"/>
        <v>184500</v>
      </c>
      <c r="H34" s="149">
        <f t="shared" si="2"/>
        <v>184500</v>
      </c>
      <c r="I34" s="149">
        <f>H33+H34</f>
        <v>369000</v>
      </c>
    </row>
    <row r="35" spans="2:9">
      <c r="B35" s="58" t="s">
        <v>45</v>
      </c>
      <c r="D35" s="83"/>
      <c r="E35" s="105"/>
      <c r="F35" s="82">
        <f>ROUND(+D35*E35/2,2)</f>
        <v>0</v>
      </c>
      <c r="G35" s="149">
        <f t="shared" si="3"/>
        <v>184500</v>
      </c>
      <c r="H35" s="149">
        <f t="shared" si="2"/>
        <v>184500</v>
      </c>
      <c r="I35" s="149"/>
    </row>
    <row r="36" spans="2:9">
      <c r="B36" s="58" t="s">
        <v>46</v>
      </c>
      <c r="C36" s="39">
        <v>2036</v>
      </c>
      <c r="D36" s="83"/>
      <c r="E36" s="105">
        <v>0.03</v>
      </c>
      <c r="F36" s="82"/>
      <c r="G36" s="149">
        <f t="shared" si="3"/>
        <v>184500</v>
      </c>
      <c r="H36" s="149">
        <f t="shared" si="2"/>
        <v>184500</v>
      </c>
      <c r="I36" s="149">
        <f>H35+H36</f>
        <v>369000</v>
      </c>
    </row>
    <row r="37" spans="2:9">
      <c r="B37" s="58" t="s">
        <v>45</v>
      </c>
      <c r="C37" s="39"/>
      <c r="D37" s="83"/>
      <c r="E37" s="105"/>
      <c r="F37" s="82"/>
      <c r="G37" s="149">
        <f t="shared" si="3"/>
        <v>184500</v>
      </c>
      <c r="H37" s="149">
        <f t="shared" si="2"/>
        <v>184500</v>
      </c>
      <c r="I37" s="149"/>
    </row>
    <row r="38" spans="2:9">
      <c r="B38" s="58" t="s">
        <v>46</v>
      </c>
      <c r="C38" s="39">
        <v>2037</v>
      </c>
      <c r="D38" s="83"/>
      <c r="E38" s="105">
        <v>0.03</v>
      </c>
      <c r="F38" s="82"/>
      <c r="G38" s="149">
        <f t="shared" si="3"/>
        <v>184500</v>
      </c>
      <c r="H38" s="149">
        <f t="shared" si="2"/>
        <v>184500</v>
      </c>
      <c r="I38" s="149">
        <f>H37+H38</f>
        <v>369000</v>
      </c>
    </row>
    <row r="39" spans="2:9">
      <c r="B39" s="58" t="s">
        <v>45</v>
      </c>
      <c r="C39" s="39"/>
      <c r="D39" s="83"/>
      <c r="E39" s="105"/>
      <c r="F39" s="82"/>
      <c r="G39" s="149">
        <f t="shared" si="3"/>
        <v>184500</v>
      </c>
      <c r="H39" s="149">
        <f t="shared" si="2"/>
        <v>184500</v>
      </c>
      <c r="I39" s="149"/>
    </row>
    <row r="40" spans="2:9">
      <c r="B40" s="58" t="s">
        <v>46</v>
      </c>
      <c r="C40" s="39">
        <v>2038</v>
      </c>
      <c r="D40" s="83"/>
      <c r="E40" s="105">
        <v>0.03</v>
      </c>
      <c r="F40" s="82"/>
      <c r="G40" s="149">
        <f t="shared" si="3"/>
        <v>184500</v>
      </c>
      <c r="H40" s="149">
        <f t="shared" si="2"/>
        <v>184500</v>
      </c>
      <c r="I40" s="149">
        <f>H39+H40</f>
        <v>369000</v>
      </c>
    </row>
    <row r="41" spans="2:9">
      <c r="B41" s="58" t="s">
        <v>45</v>
      </c>
      <c r="C41" s="39"/>
      <c r="D41" s="83"/>
      <c r="E41" s="105"/>
      <c r="F41" s="82"/>
      <c r="G41" s="149">
        <f t="shared" si="3"/>
        <v>184500</v>
      </c>
      <c r="H41" s="149">
        <f t="shared" si="2"/>
        <v>184500</v>
      </c>
      <c r="I41" s="149"/>
    </row>
    <row r="42" spans="2:9">
      <c r="B42" s="58" t="s">
        <v>46</v>
      </c>
      <c r="C42" s="39">
        <v>2039</v>
      </c>
      <c r="D42" s="83"/>
      <c r="E42" s="105">
        <v>0.03</v>
      </c>
      <c r="F42" s="82"/>
      <c r="G42" s="149">
        <f t="shared" si="3"/>
        <v>184500</v>
      </c>
      <c r="H42" s="149">
        <f t="shared" si="2"/>
        <v>184500</v>
      </c>
      <c r="I42" s="149">
        <f>H41+H42</f>
        <v>369000</v>
      </c>
    </row>
    <row r="43" spans="2:9">
      <c r="B43" s="58" t="s">
        <v>45</v>
      </c>
      <c r="C43" s="39"/>
      <c r="D43" s="83"/>
      <c r="E43" s="105"/>
      <c r="F43" s="82"/>
      <c r="G43" s="149">
        <f t="shared" si="3"/>
        <v>184500</v>
      </c>
      <c r="H43" s="149">
        <f t="shared" si="2"/>
        <v>184500</v>
      </c>
      <c r="I43" s="149"/>
    </row>
    <row r="44" spans="2:9">
      <c r="B44" s="58" t="s">
        <v>46</v>
      </c>
      <c r="C44" s="39">
        <v>2040</v>
      </c>
      <c r="D44" s="83"/>
      <c r="E44" s="105">
        <v>0.03</v>
      </c>
      <c r="F44" s="82"/>
      <c r="G44" s="149">
        <f t="shared" si="3"/>
        <v>184500</v>
      </c>
      <c r="H44" s="149">
        <f t="shared" si="2"/>
        <v>184500</v>
      </c>
      <c r="I44" s="149">
        <f>H43+H44</f>
        <v>369000</v>
      </c>
    </row>
    <row r="45" spans="2:9">
      <c r="B45" s="58" t="s">
        <v>45</v>
      </c>
      <c r="C45" s="39"/>
      <c r="D45" s="83"/>
      <c r="E45" s="105"/>
      <c r="F45" s="82"/>
      <c r="G45" s="149">
        <f t="shared" si="3"/>
        <v>184500</v>
      </c>
      <c r="H45" s="149">
        <f t="shared" si="2"/>
        <v>184500</v>
      </c>
      <c r="I45" s="149"/>
    </row>
    <row r="46" spans="2:9">
      <c r="B46" s="58" t="s">
        <v>46</v>
      </c>
      <c r="C46" s="39">
        <v>2041</v>
      </c>
      <c r="D46" s="83"/>
      <c r="E46" s="105">
        <v>0.03</v>
      </c>
      <c r="F46" s="82"/>
      <c r="G46" s="149">
        <f t="shared" si="3"/>
        <v>184500</v>
      </c>
      <c r="H46" s="149">
        <f t="shared" si="2"/>
        <v>184500</v>
      </c>
      <c r="I46" s="149">
        <f>H45+H46</f>
        <v>369000</v>
      </c>
    </row>
    <row r="47" spans="2:9">
      <c r="B47" s="58" t="s">
        <v>45</v>
      </c>
      <c r="C47" s="39"/>
      <c r="D47" s="83"/>
      <c r="E47" s="105"/>
      <c r="F47" s="82"/>
      <c r="G47" s="149">
        <f t="shared" si="3"/>
        <v>184500</v>
      </c>
      <c r="H47" s="149">
        <f t="shared" si="2"/>
        <v>184500</v>
      </c>
      <c r="I47" s="149"/>
    </row>
    <row r="48" spans="2:9">
      <c r="B48" s="58" t="s">
        <v>46</v>
      </c>
      <c r="C48" s="39">
        <v>2042</v>
      </c>
      <c r="D48" s="83"/>
      <c r="E48" s="105">
        <v>0.03</v>
      </c>
      <c r="F48" s="82"/>
      <c r="G48" s="149">
        <f t="shared" si="3"/>
        <v>184500</v>
      </c>
      <c r="H48" s="149">
        <f t="shared" si="2"/>
        <v>184500</v>
      </c>
      <c r="I48" s="149">
        <f>H47+H48</f>
        <v>369000</v>
      </c>
    </row>
    <row r="49" spans="2:9">
      <c r="B49" s="58" t="s">
        <v>45</v>
      </c>
      <c r="C49" s="39"/>
      <c r="D49" s="83"/>
      <c r="E49" s="105"/>
      <c r="F49" s="82"/>
      <c r="G49" s="149">
        <f t="shared" si="3"/>
        <v>184500</v>
      </c>
      <c r="H49" s="149">
        <f t="shared" si="2"/>
        <v>184500</v>
      </c>
      <c r="I49" s="149"/>
    </row>
    <row r="50" spans="2:9">
      <c r="B50" s="58" t="s">
        <v>46</v>
      </c>
      <c r="C50" s="39">
        <v>2043</v>
      </c>
      <c r="D50" s="83"/>
      <c r="E50" s="105">
        <v>0.03</v>
      </c>
      <c r="F50" s="82"/>
      <c r="G50" s="149">
        <f t="shared" si="3"/>
        <v>184500</v>
      </c>
      <c r="H50" s="149">
        <f t="shared" si="2"/>
        <v>184500</v>
      </c>
      <c r="I50" s="149">
        <f>H49+H50</f>
        <v>369000</v>
      </c>
    </row>
    <row r="51" spans="2:9">
      <c r="B51" s="58" t="s">
        <v>45</v>
      </c>
      <c r="C51" s="39"/>
      <c r="D51" s="83"/>
      <c r="E51" s="105"/>
      <c r="F51" s="82"/>
      <c r="G51" s="149">
        <f t="shared" si="3"/>
        <v>184500</v>
      </c>
      <c r="H51" s="149">
        <f t="shared" si="2"/>
        <v>184500</v>
      </c>
      <c r="I51" s="149"/>
    </row>
    <row r="52" spans="2:9">
      <c r="B52" s="58" t="s">
        <v>46</v>
      </c>
      <c r="C52" s="39">
        <v>2044</v>
      </c>
      <c r="D52" s="147">
        <v>1270000</v>
      </c>
      <c r="E52" s="105">
        <v>0.03</v>
      </c>
      <c r="F52" s="82"/>
      <c r="G52" s="149">
        <f t="shared" si="3"/>
        <v>184500</v>
      </c>
      <c r="H52" s="149">
        <f t="shared" si="2"/>
        <v>1454500</v>
      </c>
      <c r="I52" s="149">
        <f>H51+H52</f>
        <v>1639000</v>
      </c>
    </row>
    <row r="53" spans="2:9">
      <c r="B53" s="58" t="s">
        <v>45</v>
      </c>
      <c r="C53" s="39"/>
      <c r="D53" s="147"/>
      <c r="E53" s="105"/>
      <c r="F53" s="82"/>
      <c r="G53" s="149">
        <v>165450</v>
      </c>
      <c r="H53" s="149">
        <f t="shared" si="2"/>
        <v>165450</v>
      </c>
      <c r="I53" s="149"/>
    </row>
    <row r="54" spans="2:9">
      <c r="B54" s="58" t="s">
        <v>46</v>
      </c>
      <c r="C54" s="39">
        <v>2045</v>
      </c>
      <c r="D54" s="147">
        <v>1310000</v>
      </c>
      <c r="E54" s="105">
        <v>0.03</v>
      </c>
      <c r="F54" s="82"/>
      <c r="G54" s="149">
        <f t="shared" ref="G54" si="4">+G53-F53</f>
        <v>165450</v>
      </c>
      <c r="H54" s="149">
        <f t="shared" si="2"/>
        <v>1475450</v>
      </c>
      <c r="I54" s="149">
        <f>H53+H54</f>
        <v>1640900</v>
      </c>
    </row>
    <row r="55" spans="2:9">
      <c r="B55" s="58" t="s">
        <v>45</v>
      </c>
      <c r="C55" s="39"/>
      <c r="D55" s="147"/>
      <c r="E55" s="105"/>
      <c r="F55" s="82"/>
      <c r="G55" s="149">
        <v>145800</v>
      </c>
      <c r="H55" s="149">
        <f t="shared" si="2"/>
        <v>145800</v>
      </c>
      <c r="I55" s="149"/>
    </row>
    <row r="56" spans="2:9">
      <c r="B56" s="58" t="s">
        <v>46</v>
      </c>
      <c r="C56" s="39">
        <v>2046</v>
      </c>
      <c r="D56" s="147">
        <v>1345000</v>
      </c>
      <c r="E56" s="105">
        <v>0.04</v>
      </c>
      <c r="F56" s="82"/>
      <c r="G56" s="149">
        <f t="shared" ref="G56" si="5">+G55-F55</f>
        <v>145800</v>
      </c>
      <c r="H56" s="149">
        <f t="shared" si="2"/>
        <v>1490800</v>
      </c>
      <c r="I56" s="149">
        <f>H55+H56</f>
        <v>1636600</v>
      </c>
    </row>
    <row r="57" spans="2:9">
      <c r="B57" s="58" t="s">
        <v>45</v>
      </c>
      <c r="C57" s="39"/>
      <c r="D57" s="147"/>
      <c r="E57" s="105"/>
      <c r="F57" s="82"/>
      <c r="G57" s="149">
        <v>118900</v>
      </c>
      <c r="H57" s="149">
        <f t="shared" si="2"/>
        <v>118900</v>
      </c>
      <c r="I57" s="149"/>
    </row>
    <row r="58" spans="2:9">
      <c r="B58" s="58" t="s">
        <v>46</v>
      </c>
      <c r="C58" s="39">
        <v>2047</v>
      </c>
      <c r="D58" s="147">
        <v>1400000</v>
      </c>
      <c r="E58" s="105">
        <v>0.04</v>
      </c>
      <c r="F58" s="82"/>
      <c r="G58" s="149">
        <f t="shared" ref="G58" si="6">+G57-F57</f>
        <v>118900</v>
      </c>
      <c r="H58" s="149">
        <f t="shared" si="2"/>
        <v>1518900</v>
      </c>
      <c r="I58" s="149">
        <f>H57+H58</f>
        <v>1637800</v>
      </c>
    </row>
    <row r="59" spans="2:9">
      <c r="B59" s="58" t="s">
        <v>45</v>
      </c>
      <c r="C59" s="39"/>
      <c r="D59" s="147"/>
      <c r="E59" s="105"/>
      <c r="F59" s="82"/>
      <c r="G59" s="149">
        <v>90900</v>
      </c>
      <c r="H59" s="149">
        <f t="shared" si="2"/>
        <v>90900</v>
      </c>
      <c r="I59" s="149"/>
    </row>
    <row r="60" spans="2:9">
      <c r="B60" s="58" t="s">
        <v>46</v>
      </c>
      <c r="C60" s="39">
        <v>2048</v>
      </c>
      <c r="D60" s="147">
        <v>1455000</v>
      </c>
      <c r="E60" s="105">
        <v>0.04</v>
      </c>
      <c r="F60" s="82"/>
      <c r="G60" s="149">
        <f t="shared" ref="G60" si="7">+G59-F59</f>
        <v>90900</v>
      </c>
      <c r="H60" s="149">
        <f t="shared" si="2"/>
        <v>1545900</v>
      </c>
      <c r="I60" s="149">
        <f>H59+H60</f>
        <v>1636800</v>
      </c>
    </row>
    <row r="61" spans="2:9">
      <c r="B61" s="58" t="s">
        <v>45</v>
      </c>
      <c r="C61" s="39"/>
      <c r="D61" s="147"/>
      <c r="E61" s="105"/>
      <c r="F61" s="82"/>
      <c r="G61" s="149">
        <v>61800</v>
      </c>
      <c r="H61" s="149">
        <f t="shared" si="2"/>
        <v>61800</v>
      </c>
      <c r="I61" s="149"/>
    </row>
    <row r="62" spans="2:9">
      <c r="B62" s="58" t="s">
        <v>46</v>
      </c>
      <c r="C62" s="39">
        <v>2049</v>
      </c>
      <c r="D62" s="147">
        <v>1515000</v>
      </c>
      <c r="E62" s="105">
        <v>0.04</v>
      </c>
      <c r="F62" s="82"/>
      <c r="G62" s="149">
        <f t="shared" ref="G62" si="8">+G61-F61</f>
        <v>61800</v>
      </c>
      <c r="H62" s="149">
        <f t="shared" si="2"/>
        <v>1576800</v>
      </c>
      <c r="I62" s="149">
        <f>H61+H62</f>
        <v>1638600</v>
      </c>
    </row>
    <row r="63" spans="2:9">
      <c r="B63" s="58" t="s">
        <v>45</v>
      </c>
      <c r="C63" s="39"/>
      <c r="D63" s="147"/>
      <c r="E63" s="105"/>
      <c r="F63" s="82"/>
      <c r="G63" s="149">
        <v>31500</v>
      </c>
      <c r="H63" s="149">
        <f t="shared" si="2"/>
        <v>31500</v>
      </c>
      <c r="I63" s="149"/>
    </row>
    <row r="64" spans="2:9">
      <c r="B64" s="58" t="s">
        <v>46</v>
      </c>
      <c r="C64" s="39">
        <v>2050</v>
      </c>
      <c r="D64" s="147">
        <v>1575000</v>
      </c>
      <c r="E64" s="105">
        <v>0.04</v>
      </c>
      <c r="F64" s="82"/>
      <c r="G64" s="149">
        <f t="shared" ref="G64" si="9">+G63-F63</f>
        <v>31500</v>
      </c>
      <c r="H64" s="149">
        <f t="shared" si="2"/>
        <v>1606500</v>
      </c>
      <c r="I64" s="149">
        <f>H63+H64</f>
        <v>1638000</v>
      </c>
    </row>
    <row r="65" spans="2:9">
      <c r="B65" s="14"/>
      <c r="C65" s="37"/>
      <c r="D65" s="148"/>
      <c r="E65" s="38"/>
      <c r="F65" s="40"/>
      <c r="G65" s="148"/>
      <c r="H65" s="148"/>
      <c r="I65" s="148"/>
    </row>
    <row r="66" spans="2:9">
      <c r="B66" s="58"/>
      <c r="C66" s="37"/>
      <c r="D66" s="42"/>
      <c r="E66" s="38"/>
      <c r="F66" s="42"/>
      <c r="G66" s="150"/>
      <c r="H66" s="150"/>
      <c r="I66" s="150"/>
    </row>
    <row r="67" spans="2:9">
      <c r="B67" s="41"/>
      <c r="C67" s="41"/>
      <c r="D67" s="169">
        <f>SUM(D10:D65)</f>
        <v>9870000</v>
      </c>
      <c r="E67" s="85"/>
      <c r="F67" s="84">
        <f>SUM(F10:F65)</f>
        <v>0</v>
      </c>
      <c r="G67" s="169">
        <f>SUM(G10:G65)</f>
        <v>8608700</v>
      </c>
      <c r="H67" s="169">
        <f>SUM(H10:H65)</f>
        <v>18478700</v>
      </c>
      <c r="I67" s="169">
        <f>SUM(I10:I65)</f>
        <v>18478700</v>
      </c>
    </row>
    <row r="68" spans="2:9">
      <c r="B68" s="41"/>
      <c r="C68" s="41"/>
      <c r="D68" s="42"/>
      <c r="E68" s="43"/>
      <c r="F68" s="42"/>
      <c r="G68" s="42"/>
      <c r="H68" s="42"/>
      <c r="I68" s="42"/>
    </row>
    <row r="69" spans="2:9">
      <c r="B69" s="60" t="s">
        <v>24</v>
      </c>
      <c r="C69" s="25"/>
      <c r="D69" s="25"/>
      <c r="E69" s="61"/>
      <c r="F69" s="62"/>
      <c r="G69" s="61">
        <v>9870000</v>
      </c>
      <c r="H69" s="62"/>
      <c r="I69" s="63"/>
    </row>
    <row r="70" spans="2:9">
      <c r="B70" s="64" t="s">
        <v>25</v>
      </c>
      <c r="C70" s="56"/>
      <c r="D70" s="14"/>
      <c r="E70" s="53"/>
      <c r="F70" s="54"/>
      <c r="G70" s="59">
        <v>9870000</v>
      </c>
      <c r="H70" s="54"/>
      <c r="I70" s="65"/>
    </row>
    <row r="71" spans="2:9">
      <c r="B71" s="66" t="s">
        <v>26</v>
      </c>
      <c r="C71" s="67"/>
      <c r="D71" s="24"/>
      <c r="E71" s="68"/>
      <c r="F71" s="55"/>
      <c r="G71" s="69">
        <f>G69-G70</f>
        <v>0</v>
      </c>
      <c r="H71" s="55"/>
      <c r="I71" s="70"/>
    </row>
    <row r="72" spans="2:9">
      <c r="B72" s="71"/>
      <c r="C72" s="56"/>
      <c r="D72" s="14"/>
      <c r="E72" s="53"/>
      <c r="F72" s="54"/>
      <c r="G72" s="59"/>
      <c r="H72" s="54"/>
      <c r="I72" s="54"/>
    </row>
    <row r="73" spans="2:9">
      <c r="B73" s="71"/>
      <c r="C73" s="56"/>
      <c r="D73" s="14"/>
      <c r="E73" s="53"/>
      <c r="F73" s="54"/>
      <c r="G73" s="59"/>
      <c r="H73" s="54"/>
      <c r="I73" s="54"/>
    </row>
    <row r="75" spans="2:9">
      <c r="B75" s="222" t="s">
        <v>34</v>
      </c>
      <c r="C75" s="222"/>
      <c r="D75" s="222"/>
      <c r="E75" s="222"/>
      <c r="F75" s="222"/>
      <c r="G75" s="222"/>
      <c r="H75" s="222"/>
      <c r="I75" s="222"/>
    </row>
    <row r="76" spans="2:9">
      <c r="B76" s="222" t="s">
        <v>23</v>
      </c>
      <c r="C76" s="222"/>
      <c r="D76" s="222"/>
      <c r="E76" s="222"/>
      <c r="F76" s="222"/>
      <c r="G76" s="222"/>
      <c r="H76" s="222"/>
      <c r="I76" s="222"/>
    </row>
    <row r="77" spans="2:9">
      <c r="B77" s="222" t="s">
        <v>60</v>
      </c>
      <c r="C77" s="222"/>
      <c r="D77" s="222"/>
      <c r="E77" s="222"/>
      <c r="F77" s="222"/>
      <c r="G77" s="222"/>
      <c r="H77" s="222"/>
      <c r="I77" s="222"/>
    </row>
    <row r="78" spans="2:9">
      <c r="B78" s="222" t="s">
        <v>59</v>
      </c>
      <c r="C78" s="222"/>
      <c r="D78" s="222"/>
      <c r="E78" s="222"/>
      <c r="F78" s="222"/>
      <c r="G78" s="222"/>
      <c r="H78" s="222"/>
      <c r="I78" s="222"/>
    </row>
    <row r="79" spans="2:9">
      <c r="B79" s="56" t="s">
        <v>70</v>
      </c>
      <c r="C79" s="45"/>
      <c r="D79" s="45"/>
      <c r="E79" s="45"/>
      <c r="F79" s="45"/>
      <c r="G79" s="45"/>
      <c r="H79" s="45"/>
      <c r="I79" s="45"/>
    </row>
    <row r="80" spans="2:9">
      <c r="B80" s="56" t="s">
        <v>71</v>
      </c>
      <c r="C80" s="57"/>
      <c r="D80" s="57"/>
      <c r="E80" s="57"/>
      <c r="F80" s="57"/>
      <c r="G80" s="57"/>
      <c r="H80" s="57"/>
      <c r="I80" s="57"/>
    </row>
    <row r="81" spans="2:9">
      <c r="B81" s="49"/>
      <c r="C81" s="50"/>
      <c r="D81" s="46"/>
      <c r="E81" s="47"/>
      <c r="F81" s="48" t="s">
        <v>15</v>
      </c>
      <c r="G81" s="46"/>
      <c r="H81" s="46"/>
      <c r="I81" s="46"/>
    </row>
    <row r="82" spans="2:9">
      <c r="B82" s="223" t="s">
        <v>19</v>
      </c>
      <c r="C82" s="223"/>
      <c r="D82" s="51" t="s">
        <v>14</v>
      </c>
      <c r="E82" s="52" t="s">
        <v>20</v>
      </c>
      <c r="F82" s="51" t="s">
        <v>21</v>
      </c>
      <c r="G82" s="51" t="s">
        <v>15</v>
      </c>
      <c r="H82" s="51" t="s">
        <v>16</v>
      </c>
      <c r="I82" s="51" t="s">
        <v>22</v>
      </c>
    </row>
    <row r="84" spans="2:9">
      <c r="B84" s="58" t="s">
        <v>45</v>
      </c>
      <c r="D84" s="147"/>
      <c r="E84" s="105"/>
      <c r="F84" s="82">
        <f>ROUND(+D84*E84/2,2)</f>
        <v>0</v>
      </c>
      <c r="G84" s="168">
        <v>628452</v>
      </c>
      <c r="H84" s="168">
        <f t="shared" ref="H84:H121" si="10">+G84+D84</f>
        <v>628452</v>
      </c>
      <c r="I84" s="149"/>
    </row>
    <row r="85" spans="2:9">
      <c r="B85" s="58" t="s">
        <v>46</v>
      </c>
      <c r="C85" s="39">
        <v>2025</v>
      </c>
      <c r="D85" s="149">
        <v>2345000</v>
      </c>
      <c r="E85" s="105">
        <v>1.064E-2</v>
      </c>
      <c r="F85" s="82"/>
      <c r="G85" s="149">
        <f t="shared" ref="G85:G115" si="11">+G84-F84</f>
        <v>628452</v>
      </c>
      <c r="H85" s="149">
        <f t="shared" si="10"/>
        <v>2973452</v>
      </c>
      <c r="I85" s="168">
        <f>H84+H85</f>
        <v>3601904</v>
      </c>
    </row>
    <row r="86" spans="2:9">
      <c r="B86" s="58" t="s">
        <v>45</v>
      </c>
      <c r="D86" s="147"/>
      <c r="E86" s="105"/>
      <c r="F86" s="82">
        <f>ROUND(+D86*E86/2,2)</f>
        <v>0</v>
      </c>
      <c r="G86" s="149">
        <v>615977</v>
      </c>
      <c r="H86" s="149">
        <f t="shared" si="10"/>
        <v>615977</v>
      </c>
      <c r="I86" s="149"/>
    </row>
    <row r="87" spans="2:9">
      <c r="B87" s="58" t="s">
        <v>46</v>
      </c>
      <c r="C87" s="39">
        <v>2026</v>
      </c>
      <c r="D87" s="149">
        <v>2365000</v>
      </c>
      <c r="E87" s="105">
        <v>1.3599999999999999E-2</v>
      </c>
      <c r="F87" s="82"/>
      <c r="G87" s="149">
        <f t="shared" si="11"/>
        <v>615977</v>
      </c>
      <c r="H87" s="149">
        <f t="shared" si="10"/>
        <v>2980977</v>
      </c>
      <c r="I87" s="149">
        <f>H86+H87</f>
        <v>3596954</v>
      </c>
    </row>
    <row r="88" spans="2:9">
      <c r="B88" s="58" t="s">
        <v>45</v>
      </c>
      <c r="D88" s="147"/>
      <c r="E88" s="105"/>
      <c r="F88" s="82">
        <f>ROUND(+D88*E88/2,2)</f>
        <v>0</v>
      </c>
      <c r="G88" s="149">
        <v>599848</v>
      </c>
      <c r="H88" s="149">
        <f t="shared" si="10"/>
        <v>599848</v>
      </c>
      <c r="I88" s="149"/>
    </row>
    <row r="89" spans="2:9">
      <c r="B89" s="58" t="s">
        <v>46</v>
      </c>
      <c r="C89" s="39">
        <v>2027</v>
      </c>
      <c r="D89" s="149">
        <v>2400000</v>
      </c>
      <c r="E89" s="105">
        <v>1.46E-2</v>
      </c>
      <c r="F89" s="82"/>
      <c r="G89" s="149">
        <f>+G88-F88-1</f>
        <v>599847</v>
      </c>
      <c r="H89" s="149">
        <f t="shared" si="10"/>
        <v>2999847</v>
      </c>
      <c r="I89" s="149">
        <f>H88+H89</f>
        <v>3599695</v>
      </c>
    </row>
    <row r="90" spans="2:9">
      <c r="B90" s="58" t="s">
        <v>45</v>
      </c>
      <c r="D90" s="147"/>
      <c r="E90" s="105"/>
      <c r="F90" s="82">
        <f>ROUND(+D90*E90/2,2)</f>
        <v>0</v>
      </c>
      <c r="G90" s="149">
        <v>582280</v>
      </c>
      <c r="H90" s="149">
        <f t="shared" si="10"/>
        <v>582280</v>
      </c>
      <c r="I90" s="149"/>
    </row>
    <row r="91" spans="2:9">
      <c r="B91" s="58" t="s">
        <v>46</v>
      </c>
      <c r="C91" s="39">
        <v>2028</v>
      </c>
      <c r="D91" s="149">
        <v>2435000</v>
      </c>
      <c r="E91" s="105">
        <v>1.6799999999999999E-2</v>
      </c>
      <c r="F91" s="82"/>
      <c r="G91" s="149">
        <f>+G90-F90-1</f>
        <v>582279</v>
      </c>
      <c r="H91" s="149">
        <f t="shared" si="10"/>
        <v>3017279</v>
      </c>
      <c r="I91" s="149">
        <f>H90+H91</f>
        <v>3599559</v>
      </c>
    </row>
    <row r="92" spans="2:9">
      <c r="B92" s="58" t="s">
        <v>45</v>
      </c>
      <c r="D92" s="147"/>
      <c r="E92" s="105"/>
      <c r="F92" s="82">
        <f>ROUND(+D92*E92/2,2)</f>
        <v>0</v>
      </c>
      <c r="G92" s="149">
        <v>561801</v>
      </c>
      <c r="H92" s="149">
        <f t="shared" si="10"/>
        <v>561801</v>
      </c>
      <c r="I92" s="149"/>
    </row>
    <row r="93" spans="2:9">
      <c r="B93" s="58" t="s">
        <v>46</v>
      </c>
      <c r="C93" s="39">
        <v>2029</v>
      </c>
      <c r="D93" s="149">
        <v>2475000</v>
      </c>
      <c r="E93" s="105">
        <v>1.78E-2</v>
      </c>
      <c r="F93" s="82"/>
      <c r="G93" s="149">
        <f t="shared" si="11"/>
        <v>561801</v>
      </c>
      <c r="H93" s="149">
        <f t="shared" si="10"/>
        <v>3036801</v>
      </c>
      <c r="I93" s="149">
        <f>H92+H93</f>
        <v>3598602</v>
      </c>
    </row>
    <row r="94" spans="2:9">
      <c r="B94" s="58" t="s">
        <v>45</v>
      </c>
      <c r="D94" s="147"/>
      <c r="E94" s="105"/>
      <c r="F94" s="82">
        <f>ROUND(+D94*E94/2,2)</f>
        <v>0</v>
      </c>
      <c r="G94" s="149">
        <v>539749</v>
      </c>
      <c r="H94" s="149">
        <f t="shared" si="10"/>
        <v>539749</v>
      </c>
      <c r="I94" s="149"/>
    </row>
    <row r="95" spans="2:9">
      <c r="B95" s="58" t="s">
        <v>46</v>
      </c>
      <c r="C95" s="39">
        <v>2030</v>
      </c>
      <c r="D95" s="149">
        <v>2520000</v>
      </c>
      <c r="E95" s="105">
        <v>1.8800000000000001E-2</v>
      </c>
      <c r="F95" s="82"/>
      <c r="G95" s="149">
        <f t="shared" si="11"/>
        <v>539749</v>
      </c>
      <c r="H95" s="149">
        <f t="shared" si="10"/>
        <v>3059749</v>
      </c>
      <c r="I95" s="149">
        <f>H94+H95</f>
        <v>3599498</v>
      </c>
    </row>
    <row r="96" spans="2:9">
      <c r="B96" s="58" t="s">
        <v>45</v>
      </c>
      <c r="D96" s="147"/>
      <c r="E96" s="105"/>
      <c r="F96" s="82">
        <f>ROUND(+D96*E96/2,2)</f>
        <v>0</v>
      </c>
      <c r="G96" s="149">
        <v>516035</v>
      </c>
      <c r="H96" s="149">
        <f t="shared" si="10"/>
        <v>516035</v>
      </c>
      <c r="I96" s="149"/>
    </row>
    <row r="97" spans="2:9">
      <c r="B97" s="58" t="s">
        <v>46</v>
      </c>
      <c r="C97" s="39">
        <v>2031</v>
      </c>
      <c r="D97" s="149">
        <v>2570000</v>
      </c>
      <c r="E97" s="105">
        <v>1.9800000000000002E-2</v>
      </c>
      <c r="F97" s="82"/>
      <c r="G97" s="149">
        <f>+G96-F96+1</f>
        <v>516036</v>
      </c>
      <c r="H97" s="149">
        <f t="shared" si="10"/>
        <v>3086036</v>
      </c>
      <c r="I97" s="149">
        <f>H96+H97</f>
        <v>3602071</v>
      </c>
    </row>
    <row r="98" spans="2:9">
      <c r="B98" s="58" t="s">
        <v>45</v>
      </c>
      <c r="D98" s="147"/>
      <c r="E98" s="105"/>
      <c r="F98" s="82">
        <f>ROUND(+D98*E98/2,2)</f>
        <v>0</v>
      </c>
      <c r="G98" s="149">
        <v>490567</v>
      </c>
      <c r="H98" s="149">
        <f t="shared" si="10"/>
        <v>490567</v>
      </c>
      <c r="I98" s="149"/>
    </row>
    <row r="99" spans="2:9">
      <c r="B99" s="58" t="s">
        <v>46</v>
      </c>
      <c r="C99" s="39">
        <v>2032</v>
      </c>
      <c r="D99" s="149">
        <v>2625000</v>
      </c>
      <c r="E99" s="105">
        <v>2.0799999999999999E-2</v>
      </c>
      <c r="F99" s="82"/>
      <c r="G99" s="149">
        <f t="shared" si="11"/>
        <v>490567</v>
      </c>
      <c r="H99" s="149">
        <f t="shared" si="10"/>
        <v>3115567</v>
      </c>
      <c r="I99" s="149">
        <f>H98+H99</f>
        <v>3606134</v>
      </c>
    </row>
    <row r="100" spans="2:9">
      <c r="B100" s="58" t="s">
        <v>45</v>
      </c>
      <c r="D100" s="147"/>
      <c r="E100" s="105"/>
      <c r="F100" s="82">
        <f>ROUND(+D100*E100/2,2)</f>
        <v>0</v>
      </c>
      <c r="G100" s="149">
        <v>463241</v>
      </c>
      <c r="H100" s="149">
        <f t="shared" si="10"/>
        <v>463241</v>
      </c>
      <c r="I100" s="149"/>
    </row>
    <row r="101" spans="2:9">
      <c r="B101" s="58" t="s">
        <v>46</v>
      </c>
      <c r="C101" s="39">
        <v>2033</v>
      </c>
      <c r="D101" s="149">
        <v>2670000</v>
      </c>
      <c r="E101" s="105">
        <v>2.1299999999999999E-2</v>
      </c>
      <c r="F101" s="82"/>
      <c r="G101" s="149">
        <f t="shared" si="11"/>
        <v>463241</v>
      </c>
      <c r="H101" s="149">
        <f t="shared" si="10"/>
        <v>3133241</v>
      </c>
      <c r="I101" s="149">
        <f>H100+H101</f>
        <v>3596482</v>
      </c>
    </row>
    <row r="102" spans="2:9">
      <c r="B102" s="58" t="s">
        <v>45</v>
      </c>
      <c r="D102" s="147"/>
      <c r="E102" s="105"/>
      <c r="F102" s="82">
        <f>ROUND(+D102*E102/2,2)</f>
        <v>0</v>
      </c>
      <c r="G102" s="149">
        <v>434778</v>
      </c>
      <c r="H102" s="149">
        <f t="shared" si="10"/>
        <v>434778</v>
      </c>
      <c r="I102" s="149"/>
    </row>
    <row r="103" spans="2:9">
      <c r="B103" s="58" t="s">
        <v>46</v>
      </c>
      <c r="C103" s="39">
        <v>2034</v>
      </c>
      <c r="D103" s="149">
        <v>2730000</v>
      </c>
      <c r="E103" s="105">
        <v>2.23E-2</v>
      </c>
      <c r="F103" s="82"/>
      <c r="G103" s="149">
        <f>+G102-F102+1</f>
        <v>434779</v>
      </c>
      <c r="H103" s="149">
        <f t="shared" si="10"/>
        <v>3164779</v>
      </c>
      <c r="I103" s="149">
        <f>H102+H103</f>
        <v>3599557</v>
      </c>
    </row>
    <row r="104" spans="2:9">
      <c r="B104" s="58" t="s">
        <v>45</v>
      </c>
      <c r="D104" s="147"/>
      <c r="E104" s="105"/>
      <c r="F104" s="82">
        <f>ROUND(+D104*E104/2,2)</f>
        <v>0</v>
      </c>
      <c r="G104" s="149">
        <v>404312</v>
      </c>
      <c r="H104" s="149">
        <f t="shared" si="10"/>
        <v>404312</v>
      </c>
      <c r="I104" s="149"/>
    </row>
    <row r="105" spans="2:9">
      <c r="B105" s="58" t="s">
        <v>46</v>
      </c>
      <c r="C105" s="39">
        <v>2035</v>
      </c>
      <c r="D105" s="149">
        <v>2795000</v>
      </c>
      <c r="E105" s="105">
        <v>2.3199999999999998E-2</v>
      </c>
      <c r="F105" s="82"/>
      <c r="G105" s="149">
        <f t="shared" si="11"/>
        <v>404312</v>
      </c>
      <c r="H105" s="149">
        <f t="shared" si="10"/>
        <v>3199312</v>
      </c>
      <c r="I105" s="149">
        <f>H104+H105</f>
        <v>3603624</v>
      </c>
    </row>
    <row r="106" spans="2:9">
      <c r="B106" s="58" t="s">
        <v>45</v>
      </c>
      <c r="D106" s="147"/>
      <c r="E106" s="105"/>
      <c r="F106" s="82">
        <f>ROUND(+D106*E106/2,2)</f>
        <v>0</v>
      </c>
      <c r="G106" s="149">
        <v>371862</v>
      </c>
      <c r="H106" s="149">
        <f t="shared" si="10"/>
        <v>371862</v>
      </c>
      <c r="I106" s="149"/>
    </row>
    <row r="107" spans="2:9">
      <c r="B107" s="58" t="s">
        <v>46</v>
      </c>
      <c r="C107" s="39">
        <v>2036</v>
      </c>
      <c r="D107" s="147">
        <v>2855000</v>
      </c>
      <c r="E107" s="105">
        <v>2.9100000000000001E-2</v>
      </c>
      <c r="F107" s="82"/>
      <c r="G107" s="149">
        <f t="shared" si="11"/>
        <v>371862</v>
      </c>
      <c r="H107" s="149">
        <f t="shared" si="10"/>
        <v>3226862</v>
      </c>
      <c r="I107" s="149">
        <f>H106+H107</f>
        <v>3598724</v>
      </c>
    </row>
    <row r="108" spans="2:9">
      <c r="B108" s="58" t="s">
        <v>45</v>
      </c>
      <c r="C108" s="39"/>
      <c r="D108" s="147"/>
      <c r="E108" s="105"/>
      <c r="F108" s="82"/>
      <c r="G108" s="149">
        <v>330293</v>
      </c>
      <c r="H108" s="149">
        <f t="shared" si="10"/>
        <v>330293</v>
      </c>
      <c r="I108" s="149"/>
    </row>
    <row r="109" spans="2:9">
      <c r="B109" s="58" t="s">
        <v>46</v>
      </c>
      <c r="C109" s="39">
        <v>2037</v>
      </c>
      <c r="D109" s="147">
        <v>2940000</v>
      </c>
      <c r="E109" s="105">
        <v>2.9100000000000001E-2</v>
      </c>
      <c r="F109" s="82"/>
      <c r="G109" s="149">
        <f t="shared" si="11"/>
        <v>330293</v>
      </c>
      <c r="H109" s="149">
        <f t="shared" si="10"/>
        <v>3270293</v>
      </c>
      <c r="I109" s="149">
        <f>H108+H109</f>
        <v>3600586</v>
      </c>
    </row>
    <row r="110" spans="2:9">
      <c r="B110" s="58" t="s">
        <v>45</v>
      </c>
      <c r="C110" s="39"/>
      <c r="D110" s="147"/>
      <c r="E110" s="105"/>
      <c r="F110" s="82"/>
      <c r="G110" s="149">
        <v>287486</v>
      </c>
      <c r="H110" s="149">
        <f t="shared" si="10"/>
        <v>287486</v>
      </c>
      <c r="I110" s="149"/>
    </row>
    <row r="111" spans="2:9">
      <c r="B111" s="58" t="s">
        <v>46</v>
      </c>
      <c r="C111" s="39">
        <v>2038</v>
      </c>
      <c r="D111" s="147">
        <v>3025000</v>
      </c>
      <c r="E111" s="105">
        <v>2.9100000000000001E-2</v>
      </c>
      <c r="F111" s="82"/>
      <c r="G111" s="149">
        <f>+G110-F110+1</f>
        <v>287487</v>
      </c>
      <c r="H111" s="149">
        <f t="shared" si="10"/>
        <v>3312487</v>
      </c>
      <c r="I111" s="149">
        <f>H110+H111</f>
        <v>3599973</v>
      </c>
    </row>
    <row r="112" spans="2:9">
      <c r="B112" s="58" t="s">
        <v>45</v>
      </c>
      <c r="C112" s="39"/>
      <c r="D112" s="147"/>
      <c r="E112" s="105"/>
      <c r="F112" s="82"/>
      <c r="G112" s="149">
        <v>243443</v>
      </c>
      <c r="H112" s="149">
        <f t="shared" si="10"/>
        <v>243443</v>
      </c>
      <c r="I112" s="149"/>
    </row>
    <row r="113" spans="2:9">
      <c r="B113" s="58" t="s">
        <v>46</v>
      </c>
      <c r="C113" s="39">
        <v>2039</v>
      </c>
      <c r="D113" s="147">
        <v>3115000</v>
      </c>
      <c r="E113" s="105">
        <v>2.9100000000000001E-2</v>
      </c>
      <c r="F113" s="82"/>
      <c r="G113" s="149">
        <f>+G112-F112-1</f>
        <v>243442</v>
      </c>
      <c r="H113" s="149">
        <f t="shared" si="10"/>
        <v>3358442</v>
      </c>
      <c r="I113" s="149">
        <f>H112+H113</f>
        <v>3601885</v>
      </c>
    </row>
    <row r="114" spans="2:9">
      <c r="B114" s="58" t="s">
        <v>45</v>
      </c>
      <c r="C114" s="39"/>
      <c r="D114" s="147"/>
      <c r="E114" s="105"/>
      <c r="F114" s="82"/>
      <c r="G114" s="149">
        <v>198088</v>
      </c>
      <c r="H114" s="149">
        <f t="shared" si="10"/>
        <v>198088</v>
      </c>
      <c r="I114" s="149"/>
    </row>
    <row r="115" spans="2:9">
      <c r="B115" s="58" t="s">
        <v>46</v>
      </c>
      <c r="C115" s="39">
        <v>2040</v>
      </c>
      <c r="D115" s="147">
        <v>3205000</v>
      </c>
      <c r="E115" s="105">
        <v>2.9100000000000001E-2</v>
      </c>
      <c r="F115" s="82"/>
      <c r="G115" s="149">
        <f t="shared" si="11"/>
        <v>198088</v>
      </c>
      <c r="H115" s="149">
        <f t="shared" si="10"/>
        <v>3403088</v>
      </c>
      <c r="I115" s="149">
        <f>H114+H115</f>
        <v>3601176</v>
      </c>
    </row>
    <row r="116" spans="2:9">
      <c r="B116" s="58" t="s">
        <v>45</v>
      </c>
      <c r="C116" s="39"/>
      <c r="D116" s="147"/>
      <c r="E116" s="105"/>
      <c r="F116" s="82"/>
      <c r="G116" s="149">
        <v>151424</v>
      </c>
      <c r="H116" s="149">
        <f t="shared" si="10"/>
        <v>151424</v>
      </c>
      <c r="I116" s="149"/>
    </row>
    <row r="117" spans="2:9">
      <c r="B117" s="58" t="s">
        <v>46</v>
      </c>
      <c r="C117" s="39">
        <v>2041</v>
      </c>
      <c r="D117" s="147">
        <v>3300000</v>
      </c>
      <c r="E117" s="105">
        <v>2.9700000000000001E-2</v>
      </c>
      <c r="F117" s="82"/>
      <c r="G117" s="149">
        <f>+G116-F116-1</f>
        <v>151423</v>
      </c>
      <c r="H117" s="149">
        <f t="shared" si="10"/>
        <v>3451423</v>
      </c>
      <c r="I117" s="149">
        <f>H116+H117</f>
        <v>3602847</v>
      </c>
    </row>
    <row r="118" spans="2:9">
      <c r="B118" s="58" t="s">
        <v>45</v>
      </c>
      <c r="C118" s="39"/>
      <c r="D118" s="147"/>
      <c r="E118" s="105"/>
      <c r="F118" s="82"/>
      <c r="G118" s="149">
        <v>102385</v>
      </c>
      <c r="H118" s="149">
        <f t="shared" si="10"/>
        <v>102385</v>
      </c>
      <c r="I118" s="149"/>
    </row>
    <row r="119" spans="2:9">
      <c r="B119" s="58" t="s">
        <v>46</v>
      </c>
      <c r="C119" s="39">
        <v>2042</v>
      </c>
      <c r="D119" s="147">
        <v>3395000</v>
      </c>
      <c r="E119" s="105">
        <v>2.9700000000000001E-2</v>
      </c>
      <c r="F119" s="82"/>
      <c r="G119" s="149">
        <f>+G118-F118+1</f>
        <v>102386</v>
      </c>
      <c r="H119" s="149">
        <f t="shared" si="10"/>
        <v>3497386</v>
      </c>
      <c r="I119" s="149">
        <f>H118+H119</f>
        <v>3599771</v>
      </c>
    </row>
    <row r="120" spans="2:9">
      <c r="B120" s="58" t="s">
        <v>45</v>
      </c>
      <c r="C120" s="39"/>
      <c r="D120" s="147"/>
      <c r="E120" s="105"/>
      <c r="F120" s="82"/>
      <c r="G120" s="149">
        <v>51936</v>
      </c>
      <c r="H120" s="149">
        <f t="shared" si="10"/>
        <v>51936</v>
      </c>
      <c r="I120" s="149"/>
    </row>
    <row r="121" spans="2:9">
      <c r="B121" s="58" t="s">
        <v>46</v>
      </c>
      <c r="C121" s="39">
        <v>2043</v>
      </c>
      <c r="D121" s="147">
        <v>3495000</v>
      </c>
      <c r="E121" s="105">
        <v>2.9700000000000001E-2</v>
      </c>
      <c r="F121" s="82"/>
      <c r="G121" s="149">
        <f>+G120-F120-1</f>
        <v>51935</v>
      </c>
      <c r="H121" s="149">
        <f t="shared" si="10"/>
        <v>3546935</v>
      </c>
      <c r="I121" s="149">
        <f>H120+H121</f>
        <v>3598871</v>
      </c>
    </row>
    <row r="122" spans="2:9">
      <c r="B122" s="14"/>
      <c r="C122" s="37"/>
      <c r="D122" s="148"/>
      <c r="E122" s="38"/>
      <c r="F122" s="40"/>
      <c r="G122" s="148"/>
      <c r="H122" s="148"/>
      <c r="I122" s="148"/>
    </row>
    <row r="123" spans="2:9">
      <c r="B123" s="58"/>
      <c r="C123" s="37"/>
      <c r="D123" s="42"/>
      <c r="E123" s="38"/>
      <c r="F123" s="42"/>
      <c r="G123" s="150"/>
      <c r="H123" s="150"/>
      <c r="I123" s="150"/>
    </row>
    <row r="124" spans="2:9">
      <c r="B124" s="41"/>
      <c r="C124" s="41"/>
      <c r="D124" s="169">
        <f>SUM(D84:D122)</f>
        <v>53260000</v>
      </c>
      <c r="E124" s="85"/>
      <c r="F124" s="84">
        <f>SUM(F84:F122)</f>
        <v>0</v>
      </c>
      <c r="G124" s="169">
        <f>SUM(G84:G122)</f>
        <v>15147913</v>
      </c>
      <c r="H124" s="169">
        <f>SUM(H84:H122)</f>
        <v>68407913</v>
      </c>
      <c r="I124" s="169">
        <f>SUM(I84:I122)</f>
        <v>68407913</v>
      </c>
    </row>
    <row r="125" spans="2:9">
      <c r="B125" s="41"/>
      <c r="C125" s="41"/>
      <c r="D125" s="42"/>
      <c r="E125" s="43"/>
      <c r="F125" s="42"/>
      <c r="G125" s="42"/>
      <c r="H125" s="42"/>
      <c r="I125" s="42"/>
    </row>
    <row r="126" spans="2:9">
      <c r="B126" s="60" t="s">
        <v>24</v>
      </c>
      <c r="C126" s="25"/>
      <c r="D126" s="25"/>
      <c r="E126" s="61"/>
      <c r="F126" s="62"/>
      <c r="G126" s="61">
        <v>58015000</v>
      </c>
      <c r="H126" s="62"/>
      <c r="I126" s="63"/>
    </row>
    <row r="127" spans="2:9">
      <c r="B127" s="64" t="s">
        <v>25</v>
      </c>
      <c r="C127" s="56"/>
      <c r="D127" s="14"/>
      <c r="E127" s="53"/>
      <c r="F127" s="54"/>
      <c r="G127" s="59">
        <f>G126-G128</f>
        <v>58015000</v>
      </c>
      <c r="H127" s="54"/>
      <c r="I127" s="65"/>
    </row>
    <row r="128" spans="2:9">
      <c r="B128" s="66" t="s">
        <v>26</v>
      </c>
      <c r="C128" s="67"/>
      <c r="D128" s="24"/>
      <c r="E128" s="68"/>
      <c r="F128" s="55"/>
      <c r="G128" s="69">
        <v>0</v>
      </c>
      <c r="H128" s="55"/>
      <c r="I128" s="70"/>
    </row>
    <row r="129" spans="2:9">
      <c r="B129" s="71"/>
      <c r="C129" s="56"/>
      <c r="D129" s="14"/>
      <c r="E129" s="53"/>
      <c r="F129" s="54"/>
      <c r="G129" s="59"/>
      <c r="H129" s="54"/>
      <c r="I129" s="54"/>
    </row>
    <row r="131" spans="2:9">
      <c r="B131" s="222" t="s">
        <v>34</v>
      </c>
      <c r="C131" s="222"/>
      <c r="D131" s="222"/>
      <c r="E131" s="222"/>
      <c r="F131" s="222"/>
      <c r="G131" s="222"/>
      <c r="H131" s="222"/>
      <c r="I131" s="222"/>
    </row>
    <row r="132" spans="2:9">
      <c r="B132" s="222" t="s">
        <v>23</v>
      </c>
      <c r="C132" s="222"/>
      <c r="D132" s="222"/>
      <c r="E132" s="222"/>
      <c r="F132" s="222"/>
      <c r="G132" s="222"/>
      <c r="H132" s="222"/>
      <c r="I132" s="222"/>
    </row>
    <row r="133" spans="2:9">
      <c r="B133" s="222" t="s">
        <v>78</v>
      </c>
      <c r="C133" s="222"/>
      <c r="D133" s="222"/>
      <c r="E133" s="222"/>
      <c r="F133" s="222"/>
      <c r="G133" s="222"/>
      <c r="H133" s="222"/>
      <c r="I133" s="222"/>
    </row>
    <row r="134" spans="2:9">
      <c r="B134" s="222" t="s">
        <v>77</v>
      </c>
      <c r="C134" s="222"/>
      <c r="D134" s="222"/>
      <c r="E134" s="222"/>
      <c r="F134" s="222"/>
      <c r="G134" s="222"/>
      <c r="H134" s="222"/>
      <c r="I134" s="222"/>
    </row>
    <row r="135" spans="2:9">
      <c r="B135" s="56" t="s">
        <v>75</v>
      </c>
      <c r="C135" s="45"/>
      <c r="D135" s="45"/>
      <c r="E135" s="45"/>
      <c r="F135" s="45"/>
      <c r="G135" s="45"/>
      <c r="H135" s="45"/>
      <c r="I135" s="45"/>
    </row>
    <row r="136" spans="2:9">
      <c r="B136" s="56" t="s">
        <v>76</v>
      </c>
      <c r="C136" s="57"/>
      <c r="D136" s="57"/>
      <c r="E136" s="57"/>
      <c r="F136" s="57"/>
      <c r="G136" s="57"/>
      <c r="H136" s="57"/>
      <c r="I136" s="57"/>
    </row>
    <row r="137" spans="2:9">
      <c r="B137" s="49"/>
      <c r="C137" s="50"/>
      <c r="D137" s="46"/>
      <c r="E137" s="47"/>
      <c r="F137" s="48" t="s">
        <v>15</v>
      </c>
      <c r="G137" s="46"/>
      <c r="H137" s="46"/>
      <c r="I137" s="46"/>
    </row>
    <row r="138" spans="2:9">
      <c r="B138" s="223" t="s">
        <v>19</v>
      </c>
      <c r="C138" s="223"/>
      <c r="D138" s="51" t="s">
        <v>14</v>
      </c>
      <c r="E138" s="52" t="s">
        <v>20</v>
      </c>
      <c r="F138" s="51" t="s">
        <v>21</v>
      </c>
      <c r="G138" s="51" t="s">
        <v>15</v>
      </c>
      <c r="H138" s="51" t="s">
        <v>16</v>
      </c>
      <c r="I138" s="51" t="s">
        <v>22</v>
      </c>
    </row>
    <row r="140" spans="2:9">
      <c r="B140" s="58" t="s">
        <v>45</v>
      </c>
      <c r="D140" s="147"/>
      <c r="E140" s="147"/>
      <c r="F140" s="82">
        <f>ROUND(+D140*E140/2,2)</f>
        <v>0</v>
      </c>
      <c r="G140" s="168">
        <v>1647950</v>
      </c>
      <c r="H140" s="168">
        <f t="shared" ref="H140:H169" si="12">+G140+D140</f>
        <v>1647950</v>
      </c>
      <c r="I140" s="149"/>
    </row>
    <row r="141" spans="2:9">
      <c r="B141" s="58" t="s">
        <v>46</v>
      </c>
      <c r="C141" s="39">
        <v>2025</v>
      </c>
      <c r="D141" s="149">
        <v>0</v>
      </c>
      <c r="E141" s="149">
        <v>0</v>
      </c>
      <c r="F141" s="82"/>
      <c r="G141" s="149">
        <v>1647950</v>
      </c>
      <c r="H141" s="149">
        <f t="shared" si="12"/>
        <v>1647950</v>
      </c>
      <c r="I141" s="168">
        <v>3295900</v>
      </c>
    </row>
    <row r="142" spans="2:9">
      <c r="B142" s="58" t="s">
        <v>45</v>
      </c>
      <c r="D142" s="147"/>
      <c r="E142" s="147"/>
      <c r="F142" s="82">
        <f>ROUND(+D142*E142/2,2)</f>
        <v>0</v>
      </c>
      <c r="G142" s="149">
        <v>1647950</v>
      </c>
      <c r="H142" s="149">
        <f t="shared" si="12"/>
        <v>1647950</v>
      </c>
      <c r="I142" s="149"/>
    </row>
    <row r="143" spans="2:9">
      <c r="B143" s="58" t="s">
        <v>46</v>
      </c>
      <c r="C143" s="39">
        <v>2026</v>
      </c>
      <c r="D143" s="149">
        <v>0</v>
      </c>
      <c r="E143" s="149">
        <v>0</v>
      </c>
      <c r="F143" s="82"/>
      <c r="G143" s="149">
        <v>1647950</v>
      </c>
      <c r="H143" s="149">
        <f t="shared" si="12"/>
        <v>1647950</v>
      </c>
      <c r="I143" s="149">
        <f>H140+H141</f>
        <v>3295900</v>
      </c>
    </row>
    <row r="144" spans="2:9">
      <c r="B144" s="58" t="s">
        <v>45</v>
      </c>
      <c r="D144" s="147"/>
      <c r="E144" s="147"/>
      <c r="F144" s="82">
        <f>ROUND(+D144*E144/2,2)</f>
        <v>0</v>
      </c>
      <c r="G144" s="149">
        <v>1647950</v>
      </c>
      <c r="H144" s="149">
        <f t="shared" si="12"/>
        <v>1647950</v>
      </c>
      <c r="I144" s="149"/>
    </row>
    <row r="145" spans="2:9">
      <c r="B145" s="58" t="s">
        <v>46</v>
      </c>
      <c r="C145" s="39">
        <v>2027</v>
      </c>
      <c r="D145" s="149">
        <v>0</v>
      </c>
      <c r="E145" s="149">
        <v>0</v>
      </c>
      <c r="F145" s="82"/>
      <c r="G145" s="149">
        <v>1647950</v>
      </c>
      <c r="H145" s="149">
        <f t="shared" si="12"/>
        <v>1647950</v>
      </c>
      <c r="I145" s="149">
        <f>H142+H143</f>
        <v>3295900</v>
      </c>
    </row>
    <row r="146" spans="2:9">
      <c r="B146" s="58" t="s">
        <v>45</v>
      </c>
      <c r="D146" s="147"/>
      <c r="E146" s="105"/>
      <c r="F146" s="82">
        <f>ROUND(+D146*E146/2,2)</f>
        <v>0</v>
      </c>
      <c r="G146" s="149">
        <v>1647950</v>
      </c>
      <c r="H146" s="149">
        <f t="shared" si="12"/>
        <v>1647950</v>
      </c>
      <c r="I146" s="149"/>
    </row>
    <row r="147" spans="2:9">
      <c r="B147" s="58" t="s">
        <v>46</v>
      </c>
      <c r="C147" s="39">
        <v>2028</v>
      </c>
      <c r="D147" s="149">
        <v>800000</v>
      </c>
      <c r="E147" s="105">
        <v>0.05</v>
      </c>
      <c r="F147" s="82"/>
      <c r="G147" s="149">
        <v>1647950</v>
      </c>
      <c r="H147" s="149">
        <f t="shared" si="12"/>
        <v>2447950</v>
      </c>
      <c r="I147" s="149">
        <v>4095900</v>
      </c>
    </row>
    <row r="148" spans="2:9">
      <c r="B148" s="58" t="s">
        <v>45</v>
      </c>
      <c r="D148" s="147"/>
      <c r="E148" s="105"/>
      <c r="F148" s="82">
        <f>ROUND(+D148*E148/2,2)</f>
        <v>0</v>
      </c>
      <c r="G148" s="149">
        <v>1627950</v>
      </c>
      <c r="H148" s="149">
        <f t="shared" si="12"/>
        <v>1627950</v>
      </c>
      <c r="I148" s="149"/>
    </row>
    <row r="149" spans="2:9">
      <c r="B149" s="58" t="s">
        <v>46</v>
      </c>
      <c r="C149" s="39">
        <v>2029</v>
      </c>
      <c r="D149" s="149">
        <v>1600000</v>
      </c>
      <c r="E149" s="105">
        <v>0.05</v>
      </c>
      <c r="F149" s="82"/>
      <c r="G149" s="149">
        <f t="shared" ref="G149" si="13">+G148-F148</f>
        <v>1627950</v>
      </c>
      <c r="H149" s="149">
        <f t="shared" si="12"/>
        <v>3227950</v>
      </c>
      <c r="I149" s="149">
        <v>4855900</v>
      </c>
    </row>
    <row r="150" spans="2:9">
      <c r="B150" s="58" t="s">
        <v>45</v>
      </c>
      <c r="D150" s="147"/>
      <c r="E150" s="105"/>
      <c r="F150" s="82">
        <f>ROUND(+D150*E150/2,2)</f>
        <v>0</v>
      </c>
      <c r="G150" s="149">
        <v>1587950</v>
      </c>
      <c r="H150" s="149">
        <f t="shared" si="12"/>
        <v>1587950</v>
      </c>
      <c r="I150" s="149"/>
    </row>
    <row r="151" spans="2:9">
      <c r="B151" s="58" t="s">
        <v>46</v>
      </c>
      <c r="C151" s="39">
        <v>2030</v>
      </c>
      <c r="D151" s="149">
        <v>2600000</v>
      </c>
      <c r="E151" s="105">
        <v>0.05</v>
      </c>
      <c r="F151" s="82"/>
      <c r="G151" s="149">
        <f t="shared" ref="G151" si="14">+G150-F150</f>
        <v>1587950</v>
      </c>
      <c r="H151" s="149">
        <f t="shared" si="12"/>
        <v>4187950</v>
      </c>
      <c r="I151" s="149">
        <f>H150+H151</f>
        <v>5775900</v>
      </c>
    </row>
    <row r="152" spans="2:9">
      <c r="B152" s="58" t="s">
        <v>45</v>
      </c>
      <c r="D152" s="147"/>
      <c r="E152" s="105"/>
      <c r="F152" s="82">
        <f>ROUND(+D152*E152/2,2)</f>
        <v>0</v>
      </c>
      <c r="G152" s="149">
        <v>1522950</v>
      </c>
      <c r="H152" s="149">
        <f t="shared" si="12"/>
        <v>1522950</v>
      </c>
      <c r="I152" s="149"/>
    </row>
    <row r="153" spans="2:9">
      <c r="B153" s="58" t="s">
        <v>46</v>
      </c>
      <c r="C153" s="39">
        <v>2031</v>
      </c>
      <c r="D153" s="149">
        <v>3435000</v>
      </c>
      <c r="E153" s="105">
        <v>0.05</v>
      </c>
      <c r="F153" s="82"/>
      <c r="G153" s="149">
        <f>+G152-F152+1</f>
        <v>1522951</v>
      </c>
      <c r="H153" s="149">
        <f t="shared" si="12"/>
        <v>4957951</v>
      </c>
      <c r="I153" s="149">
        <f>H152+H153</f>
        <v>6480901</v>
      </c>
    </row>
    <row r="154" spans="2:9">
      <c r="B154" s="58" t="s">
        <v>45</v>
      </c>
      <c r="D154" s="147"/>
      <c r="E154" s="105"/>
      <c r="F154" s="82">
        <f>ROUND(+D154*E154/2,2)</f>
        <v>0</v>
      </c>
      <c r="G154" s="149">
        <v>1437075</v>
      </c>
      <c r="H154" s="149">
        <f t="shared" si="12"/>
        <v>1437075</v>
      </c>
      <c r="I154" s="149"/>
    </row>
    <row r="155" spans="2:9">
      <c r="B155" s="58" t="s">
        <v>46</v>
      </c>
      <c r="C155" s="39">
        <v>2032</v>
      </c>
      <c r="D155" s="149">
        <v>3895000</v>
      </c>
      <c r="E155" s="105">
        <v>0.05</v>
      </c>
      <c r="F155" s="82"/>
      <c r="G155" s="149">
        <f t="shared" ref="G155" si="15">+G154-F154</f>
        <v>1437075</v>
      </c>
      <c r="H155" s="149">
        <f t="shared" si="12"/>
        <v>5332075</v>
      </c>
      <c r="I155" s="149">
        <f>H154+H155</f>
        <v>6769150</v>
      </c>
    </row>
    <row r="156" spans="2:9">
      <c r="B156" s="58" t="s">
        <v>45</v>
      </c>
      <c r="D156" s="147"/>
      <c r="E156" s="105"/>
      <c r="F156" s="82">
        <f>ROUND(+D156*E156/2,2)</f>
        <v>0</v>
      </c>
      <c r="G156" s="149">
        <v>1339700</v>
      </c>
      <c r="H156" s="149">
        <f t="shared" si="12"/>
        <v>1339700</v>
      </c>
      <c r="I156" s="149"/>
    </row>
    <row r="157" spans="2:9">
      <c r="B157" s="58" t="s">
        <v>46</v>
      </c>
      <c r="C157" s="39">
        <v>2033</v>
      </c>
      <c r="D157" s="149">
        <v>4395000</v>
      </c>
      <c r="E157" s="105">
        <v>0.05</v>
      </c>
      <c r="F157" s="82"/>
      <c r="G157" s="149">
        <f t="shared" ref="G157" si="16">+G156-F156</f>
        <v>1339700</v>
      </c>
      <c r="H157" s="149">
        <f t="shared" si="12"/>
        <v>5734700</v>
      </c>
      <c r="I157" s="149">
        <f>H156+H157</f>
        <v>7074400</v>
      </c>
    </row>
    <row r="158" spans="2:9">
      <c r="B158" s="58" t="s">
        <v>45</v>
      </c>
      <c r="D158" s="147"/>
      <c r="E158" s="105"/>
      <c r="F158" s="82">
        <f>ROUND(+D158*E158/2,2)</f>
        <v>0</v>
      </c>
      <c r="G158" s="149">
        <v>1229825</v>
      </c>
      <c r="H158" s="149">
        <f t="shared" si="12"/>
        <v>1229825</v>
      </c>
      <c r="I158" s="149"/>
    </row>
    <row r="159" spans="2:9">
      <c r="B159" s="58" t="s">
        <v>46</v>
      </c>
      <c r="C159" s="39">
        <v>2034</v>
      </c>
      <c r="D159" s="149">
        <v>4925000</v>
      </c>
      <c r="E159" s="105">
        <v>0.05</v>
      </c>
      <c r="F159" s="82"/>
      <c r="G159" s="149">
        <f>+G158-F158+1</f>
        <v>1229826</v>
      </c>
      <c r="H159" s="149">
        <f t="shared" si="12"/>
        <v>6154826</v>
      </c>
      <c r="I159" s="149">
        <f>H158+H159</f>
        <v>7384651</v>
      </c>
    </row>
    <row r="160" spans="2:9">
      <c r="B160" s="58" t="s">
        <v>45</v>
      </c>
      <c r="D160" s="147"/>
      <c r="E160" s="105"/>
      <c r="F160" s="82">
        <f>ROUND(+D160*E160/2,2)</f>
        <v>0</v>
      </c>
      <c r="G160" s="149">
        <v>1106700</v>
      </c>
      <c r="H160" s="149">
        <f t="shared" si="12"/>
        <v>1106700</v>
      </c>
      <c r="I160" s="149"/>
    </row>
    <row r="161" spans="2:9">
      <c r="B161" s="58" t="s">
        <v>46</v>
      </c>
      <c r="C161" s="39">
        <v>2035</v>
      </c>
      <c r="D161" s="149">
        <v>5540000</v>
      </c>
      <c r="E161" s="105">
        <v>0.05</v>
      </c>
      <c r="F161" s="82"/>
      <c r="G161" s="149">
        <f t="shared" ref="G161" si="17">+G160-F160</f>
        <v>1106700</v>
      </c>
      <c r="H161" s="149">
        <f t="shared" si="12"/>
        <v>6646700</v>
      </c>
      <c r="I161" s="149">
        <f>H160+H161</f>
        <v>7753400</v>
      </c>
    </row>
    <row r="162" spans="2:9">
      <c r="B162" s="58" t="s">
        <v>45</v>
      </c>
      <c r="D162" s="147"/>
      <c r="E162" s="105"/>
      <c r="F162" s="82">
        <f>ROUND(+D162*E162/2,2)</f>
        <v>0</v>
      </c>
      <c r="G162" s="149">
        <v>968200</v>
      </c>
      <c r="H162" s="149">
        <f t="shared" si="12"/>
        <v>968200</v>
      </c>
      <c r="I162" s="149"/>
    </row>
    <row r="163" spans="2:9">
      <c r="B163" s="58" t="s">
        <v>46</v>
      </c>
      <c r="C163" s="39">
        <v>2036</v>
      </c>
      <c r="D163" s="147">
        <v>6160000</v>
      </c>
      <c r="E163" s="105">
        <v>0.05</v>
      </c>
      <c r="F163" s="82"/>
      <c r="G163" s="149">
        <f t="shared" ref="G163" si="18">+G162-F162</f>
        <v>968200</v>
      </c>
      <c r="H163" s="149">
        <f t="shared" si="12"/>
        <v>7128200</v>
      </c>
      <c r="I163" s="149">
        <f>H162+H163</f>
        <v>8096400</v>
      </c>
    </row>
    <row r="164" spans="2:9">
      <c r="B164" s="58" t="s">
        <v>45</v>
      </c>
      <c r="C164" s="39"/>
      <c r="D164" s="147"/>
      <c r="E164" s="105"/>
      <c r="F164" s="82"/>
      <c r="G164" s="149">
        <v>814200</v>
      </c>
      <c r="H164" s="149">
        <f t="shared" si="12"/>
        <v>814200</v>
      </c>
      <c r="I164" s="149"/>
    </row>
    <row r="165" spans="2:9">
      <c r="B165" s="58" t="s">
        <v>46</v>
      </c>
      <c r="C165" s="39">
        <v>2037</v>
      </c>
      <c r="D165" s="147">
        <v>6745000</v>
      </c>
      <c r="E165" s="105">
        <v>2.9100000000000001E-2</v>
      </c>
      <c r="F165" s="82"/>
      <c r="G165" s="149">
        <f t="shared" ref="G165" si="19">+G164-F164</f>
        <v>814200</v>
      </c>
      <c r="H165" s="149">
        <f t="shared" si="12"/>
        <v>7559200</v>
      </c>
      <c r="I165" s="149">
        <f>H164+H165</f>
        <v>8373400</v>
      </c>
    </row>
    <row r="166" spans="2:9">
      <c r="B166" s="58" t="s">
        <v>45</v>
      </c>
      <c r="C166" s="39"/>
      <c r="D166" s="147"/>
      <c r="E166" s="105"/>
      <c r="F166" s="82"/>
      <c r="G166" s="149">
        <v>679300</v>
      </c>
      <c r="H166" s="149">
        <f t="shared" si="12"/>
        <v>679300</v>
      </c>
      <c r="I166" s="149"/>
    </row>
    <row r="167" spans="2:9">
      <c r="B167" s="58" t="s">
        <v>46</v>
      </c>
      <c r="C167" s="39">
        <v>2038</v>
      </c>
      <c r="D167" s="147">
        <v>7455000</v>
      </c>
      <c r="E167" s="105">
        <v>0.04</v>
      </c>
      <c r="F167" s="82"/>
      <c r="G167" s="149">
        <f>+G166-F166+1</f>
        <v>679301</v>
      </c>
      <c r="H167" s="149">
        <f t="shared" si="12"/>
        <v>8134301</v>
      </c>
      <c r="I167" s="149">
        <f>H166+H167</f>
        <v>8813601</v>
      </c>
    </row>
    <row r="168" spans="2:9">
      <c r="B168" s="58" t="s">
        <v>45</v>
      </c>
      <c r="C168" s="39"/>
      <c r="D168" s="147"/>
      <c r="E168" s="105"/>
      <c r="F168" s="82"/>
      <c r="G168" s="149">
        <v>530200</v>
      </c>
      <c r="H168" s="149">
        <f t="shared" si="12"/>
        <v>530200</v>
      </c>
      <c r="I168" s="149"/>
    </row>
    <row r="169" spans="2:9">
      <c r="B169" s="58" t="s">
        <v>46</v>
      </c>
      <c r="C169" s="39">
        <v>2039</v>
      </c>
      <c r="D169" s="147">
        <v>8090000</v>
      </c>
      <c r="E169" s="105">
        <v>0.04</v>
      </c>
      <c r="F169" s="82"/>
      <c r="G169" s="149">
        <f>+G168-F168-1</f>
        <v>530199</v>
      </c>
      <c r="H169" s="149">
        <f t="shared" si="12"/>
        <v>8620199</v>
      </c>
      <c r="I169" s="149">
        <f>H168+H169</f>
        <v>9150399</v>
      </c>
    </row>
    <row r="170" spans="2:9">
      <c r="B170" s="58" t="s">
        <v>45</v>
      </c>
      <c r="C170" s="39"/>
      <c r="D170" s="147"/>
      <c r="E170" s="105"/>
      <c r="F170" s="82"/>
      <c r="G170" s="149">
        <v>368400</v>
      </c>
      <c r="H170" s="149">
        <f t="shared" ref="H170:H199" si="20">+G170+D170</f>
        <v>368400</v>
      </c>
      <c r="I170" s="149"/>
    </row>
    <row r="171" spans="2:9">
      <c r="B171" s="58" t="s">
        <v>46</v>
      </c>
      <c r="C171" s="39">
        <v>2040</v>
      </c>
      <c r="D171" s="147">
        <v>8785000</v>
      </c>
      <c r="E171" s="105">
        <v>0.04</v>
      </c>
      <c r="F171" s="82"/>
      <c r="G171" s="149">
        <f t="shared" ref="G171" si="21">+G170-F170</f>
        <v>368400</v>
      </c>
      <c r="H171" s="149">
        <f t="shared" si="20"/>
        <v>9153400</v>
      </c>
      <c r="I171" s="149">
        <f>H170+H171</f>
        <v>9521800</v>
      </c>
    </row>
    <row r="172" spans="2:9">
      <c r="B172" s="58" t="s">
        <v>45</v>
      </c>
      <c r="C172" s="39"/>
      <c r="D172" s="147"/>
      <c r="E172" s="105"/>
      <c r="F172" s="82"/>
      <c r="G172" s="149">
        <v>192700</v>
      </c>
      <c r="H172" s="149">
        <f t="shared" si="20"/>
        <v>192700</v>
      </c>
      <c r="I172" s="149"/>
    </row>
    <row r="173" spans="2:9">
      <c r="B173" s="58" t="s">
        <v>46</v>
      </c>
      <c r="C173" s="39">
        <v>2041</v>
      </c>
      <c r="D173" s="147">
        <v>9635000</v>
      </c>
      <c r="E173" s="105">
        <v>0.04</v>
      </c>
      <c r="F173" s="82"/>
      <c r="G173" s="149">
        <f>+G172-F172-1</f>
        <v>192699</v>
      </c>
      <c r="H173" s="149">
        <f t="shared" si="20"/>
        <v>9827699</v>
      </c>
      <c r="I173" s="149">
        <f>H172+H173</f>
        <v>10020399</v>
      </c>
    </row>
    <row r="174" spans="2:9">
      <c r="B174" s="58" t="s">
        <v>45</v>
      </c>
      <c r="C174" s="39"/>
      <c r="D174" s="147"/>
      <c r="E174" s="105"/>
      <c r="F174" s="82"/>
      <c r="G174" s="149">
        <v>2680372</v>
      </c>
      <c r="H174" s="149">
        <f t="shared" si="20"/>
        <v>2680372</v>
      </c>
      <c r="I174" s="149"/>
    </row>
    <row r="175" spans="2:9">
      <c r="B175" s="58" t="s">
        <v>46</v>
      </c>
      <c r="C175" s="39">
        <v>2042</v>
      </c>
      <c r="D175" s="147">
        <v>5064257</v>
      </c>
      <c r="E175" s="105">
        <v>3.5000000000000003E-2</v>
      </c>
      <c r="F175" s="82"/>
      <c r="G175" s="149">
        <f>+G174-F174+1</f>
        <v>2680373</v>
      </c>
      <c r="H175" s="149">
        <f t="shared" si="20"/>
        <v>7744630</v>
      </c>
      <c r="I175" s="149">
        <f>H174+H175</f>
        <v>10425002</v>
      </c>
    </row>
    <row r="176" spans="2:9">
      <c r="B176" s="58" t="s">
        <v>45</v>
      </c>
      <c r="C176" s="39"/>
      <c r="D176" s="147"/>
      <c r="E176" s="105"/>
      <c r="F176" s="82"/>
      <c r="G176" s="149">
        <v>2908005</v>
      </c>
      <c r="H176" s="149">
        <f t="shared" si="20"/>
        <v>2908005</v>
      </c>
      <c r="I176" s="149"/>
    </row>
    <row r="177" spans="2:9">
      <c r="B177" s="58" t="s">
        <v>46</v>
      </c>
      <c r="C177" s="39">
        <v>2043</v>
      </c>
      <c r="D177" s="147">
        <v>5018989</v>
      </c>
      <c r="E177" s="105">
        <v>3.5999999999999997E-2</v>
      </c>
      <c r="F177" s="82"/>
      <c r="G177" s="149">
        <f>+G176-F176-1</f>
        <v>2908004</v>
      </c>
      <c r="H177" s="149">
        <f t="shared" si="20"/>
        <v>7926993</v>
      </c>
      <c r="I177" s="149">
        <f>H176+H177</f>
        <v>10834998</v>
      </c>
    </row>
    <row r="178" spans="2:9">
      <c r="B178" s="58" t="s">
        <v>45</v>
      </c>
      <c r="C178" s="37"/>
      <c r="D178" s="150"/>
      <c r="E178" s="43"/>
      <c r="F178" s="42"/>
      <c r="G178" s="149">
        <v>3482506</v>
      </c>
      <c r="H178" s="149">
        <f t="shared" si="20"/>
        <v>3482506</v>
      </c>
      <c r="I178" s="149"/>
    </row>
    <row r="179" spans="2:9">
      <c r="B179" s="58" t="s">
        <v>46</v>
      </c>
      <c r="C179" s="37">
        <v>2044</v>
      </c>
      <c r="D179" s="147">
        <v>5454988</v>
      </c>
      <c r="E179" s="105">
        <v>3.6400000000000002E-2</v>
      </c>
      <c r="F179" s="42"/>
      <c r="G179" s="149">
        <f>+G178-F178-1</f>
        <v>3482505</v>
      </c>
      <c r="H179" s="149">
        <f t="shared" si="20"/>
        <v>8937493</v>
      </c>
      <c r="I179" s="149">
        <f>H178+H179</f>
        <v>12419999</v>
      </c>
    </row>
    <row r="180" spans="2:9">
      <c r="B180" s="58" t="s">
        <v>45</v>
      </c>
      <c r="C180" s="37"/>
      <c r="D180" s="150"/>
      <c r="E180" s="43"/>
      <c r="F180" s="42"/>
      <c r="G180" s="149">
        <v>3743867</v>
      </c>
      <c r="H180" s="149">
        <f t="shared" si="20"/>
        <v>3743867</v>
      </c>
      <c r="I180" s="150"/>
    </row>
    <row r="181" spans="2:9">
      <c r="B181" s="58" t="s">
        <v>46</v>
      </c>
      <c r="C181" s="37">
        <v>2045</v>
      </c>
      <c r="D181" s="147">
        <v>5372265</v>
      </c>
      <c r="E181" s="105">
        <v>3.6999999999999998E-2</v>
      </c>
      <c r="F181" s="42"/>
      <c r="G181" s="149">
        <f t="shared" ref="G181:G201" si="22">+G180-F180-1</f>
        <v>3743866</v>
      </c>
      <c r="H181" s="149">
        <f t="shared" si="20"/>
        <v>9116131</v>
      </c>
      <c r="I181" s="149">
        <f>H180+H181</f>
        <v>12859998</v>
      </c>
    </row>
    <row r="182" spans="2:9">
      <c r="B182" s="58" t="s">
        <v>45</v>
      </c>
      <c r="C182" s="37"/>
      <c r="D182" s="150"/>
      <c r="E182" s="43"/>
      <c r="F182" s="42"/>
      <c r="G182" s="149">
        <v>3984386</v>
      </c>
      <c r="H182" s="149">
        <f t="shared" si="20"/>
        <v>3984386</v>
      </c>
      <c r="I182" s="150"/>
    </row>
    <row r="183" spans="2:9">
      <c r="B183" s="58" t="s">
        <v>46</v>
      </c>
      <c r="C183" s="37">
        <v>2046</v>
      </c>
      <c r="D183" s="147">
        <v>5286227</v>
      </c>
      <c r="E183" s="105">
        <v>3.7400000000000003E-2</v>
      </c>
      <c r="F183" s="42"/>
      <c r="G183" s="149">
        <f t="shared" si="22"/>
        <v>3984385</v>
      </c>
      <c r="H183" s="149">
        <f t="shared" si="20"/>
        <v>9270612</v>
      </c>
      <c r="I183" s="149">
        <f>H182+H183</f>
        <v>13254998</v>
      </c>
    </row>
    <row r="184" spans="2:9">
      <c r="B184" s="58" t="s">
        <v>45</v>
      </c>
      <c r="C184" s="37"/>
      <c r="D184" s="150"/>
      <c r="E184" s="43"/>
      <c r="F184" s="42"/>
      <c r="G184" s="149">
        <v>4261671</v>
      </c>
      <c r="H184" s="149">
        <f t="shared" si="20"/>
        <v>4261671</v>
      </c>
      <c r="I184" s="150"/>
    </row>
    <row r="185" spans="2:9">
      <c r="B185" s="58" t="s">
        <v>46</v>
      </c>
      <c r="C185" s="37">
        <v>2047</v>
      </c>
      <c r="D185" s="147">
        <v>5276568</v>
      </c>
      <c r="E185" s="105">
        <v>3.7600000000000001E-2</v>
      </c>
      <c r="F185" s="42"/>
      <c r="G185" s="149">
        <f t="shared" si="22"/>
        <v>4261670</v>
      </c>
      <c r="H185" s="149">
        <f t="shared" si="20"/>
        <v>9538238</v>
      </c>
      <c r="I185" s="149">
        <f>H184+H185</f>
        <v>13799909</v>
      </c>
    </row>
    <row r="186" spans="2:9">
      <c r="B186" s="58" t="s">
        <v>45</v>
      </c>
      <c r="C186" s="37"/>
      <c r="D186" s="147"/>
      <c r="E186" s="43"/>
      <c r="F186" s="42"/>
      <c r="G186" s="149">
        <v>4506195</v>
      </c>
      <c r="H186" s="149">
        <f t="shared" si="20"/>
        <v>4506195</v>
      </c>
      <c r="I186" s="150"/>
    </row>
    <row r="187" spans="2:9">
      <c r="B187" s="58" t="s">
        <v>46</v>
      </c>
      <c r="C187" s="37">
        <v>2048</v>
      </c>
      <c r="D187" s="147">
        <v>5212609</v>
      </c>
      <c r="E187" s="105">
        <v>3.78E-2</v>
      </c>
      <c r="F187" s="42"/>
      <c r="G187" s="149">
        <f t="shared" si="22"/>
        <v>4506194</v>
      </c>
      <c r="H187" s="149">
        <f t="shared" si="20"/>
        <v>9718803</v>
      </c>
      <c r="I187" s="149">
        <f>H186+H187</f>
        <v>14224998</v>
      </c>
    </row>
    <row r="188" spans="2:9">
      <c r="B188" s="58" t="s">
        <v>45</v>
      </c>
      <c r="C188" s="37"/>
      <c r="D188" s="147"/>
      <c r="F188" s="42"/>
      <c r="G188" s="149">
        <v>4764915</v>
      </c>
      <c r="H188" s="149">
        <f t="shared" si="20"/>
        <v>4764915</v>
      </c>
      <c r="I188" s="150"/>
    </row>
    <row r="189" spans="2:9">
      <c r="B189" s="58" t="s">
        <v>46</v>
      </c>
      <c r="C189" s="37">
        <v>2049</v>
      </c>
      <c r="D189" s="147">
        <v>5155169</v>
      </c>
      <c r="E189" s="105">
        <v>3.7999999999999999E-2</v>
      </c>
      <c r="F189" s="42"/>
      <c r="G189" s="149">
        <f t="shared" si="22"/>
        <v>4764914</v>
      </c>
      <c r="H189" s="149">
        <f t="shared" si="20"/>
        <v>9920083</v>
      </c>
      <c r="I189" s="149">
        <f>H188+H189</f>
        <v>14684998</v>
      </c>
    </row>
    <row r="190" spans="2:9">
      <c r="B190" s="58" t="s">
        <v>45</v>
      </c>
      <c r="C190" s="37"/>
      <c r="D190" s="147"/>
      <c r="E190" s="43"/>
      <c r="F190" s="42"/>
      <c r="G190" s="149">
        <v>5073244</v>
      </c>
      <c r="H190" s="149">
        <f t="shared" si="20"/>
        <v>5073244</v>
      </c>
      <c r="I190" s="150"/>
    </row>
    <row r="191" spans="2:9">
      <c r="B191" s="58" t="s">
        <v>46</v>
      </c>
      <c r="C191" s="37">
        <v>2050</v>
      </c>
      <c r="D191" s="147">
        <v>5138511</v>
      </c>
      <c r="E191" s="105">
        <v>3.8199999999999998E-2</v>
      </c>
      <c r="F191" s="42"/>
      <c r="G191" s="149">
        <f t="shared" si="22"/>
        <v>5073243</v>
      </c>
      <c r="H191" s="149">
        <f t="shared" si="20"/>
        <v>10211754</v>
      </c>
      <c r="I191" s="149">
        <f>H190+H191</f>
        <v>15284998</v>
      </c>
    </row>
    <row r="192" spans="2:9">
      <c r="B192" s="58" t="s">
        <v>45</v>
      </c>
      <c r="C192" s="37"/>
      <c r="D192" s="147"/>
      <c r="E192" s="105"/>
      <c r="F192" s="42"/>
      <c r="G192" s="149">
        <v>5574722</v>
      </c>
      <c r="H192" s="149">
        <f t="shared" si="20"/>
        <v>5574722</v>
      </c>
      <c r="I192" s="150"/>
    </row>
    <row r="193" spans="2:9">
      <c r="B193" s="58" t="s">
        <v>46</v>
      </c>
      <c r="C193" s="37">
        <v>2051</v>
      </c>
      <c r="D193" s="147">
        <v>5290557</v>
      </c>
      <c r="E193" s="105">
        <v>3.8399999999999997E-2</v>
      </c>
      <c r="F193" s="42"/>
      <c r="G193" s="149">
        <f t="shared" si="22"/>
        <v>5574721</v>
      </c>
      <c r="H193" s="149">
        <f t="shared" si="20"/>
        <v>10865278</v>
      </c>
      <c r="I193" s="149">
        <f>H192+H193</f>
        <v>16440000</v>
      </c>
    </row>
    <row r="194" spans="2:9">
      <c r="B194" s="58" t="s">
        <v>45</v>
      </c>
      <c r="C194" s="37"/>
      <c r="D194" s="147"/>
      <c r="E194" s="43"/>
      <c r="F194" s="42"/>
      <c r="G194" s="149">
        <v>5871442</v>
      </c>
      <c r="H194" s="149">
        <f t="shared" si="20"/>
        <v>5871442</v>
      </c>
      <c r="I194" s="150"/>
    </row>
    <row r="195" spans="2:9">
      <c r="B195" s="58" t="s">
        <v>46</v>
      </c>
      <c r="C195" s="37">
        <v>2052</v>
      </c>
      <c r="D195" s="147">
        <v>5202115</v>
      </c>
      <c r="E195" s="105">
        <v>3.8699999999999998E-2</v>
      </c>
      <c r="F195" s="42"/>
      <c r="G195" s="149">
        <f t="shared" si="22"/>
        <v>5871441</v>
      </c>
      <c r="H195" s="149">
        <f t="shared" si="20"/>
        <v>11073556</v>
      </c>
      <c r="I195" s="149">
        <f>H194+H195</f>
        <v>16944998</v>
      </c>
    </row>
    <row r="196" spans="2:9">
      <c r="B196" s="58" t="s">
        <v>45</v>
      </c>
      <c r="C196" s="37"/>
      <c r="D196" s="147"/>
      <c r="E196" s="43"/>
      <c r="F196" s="42"/>
      <c r="G196" s="149">
        <v>6202016</v>
      </c>
      <c r="H196" s="149">
        <f t="shared" si="20"/>
        <v>6202016</v>
      </c>
      <c r="I196" s="150"/>
    </row>
    <row r="197" spans="2:9">
      <c r="B197" s="58" t="s">
        <v>46</v>
      </c>
      <c r="C197" s="37">
        <v>2053</v>
      </c>
      <c r="D197" s="147">
        <v>5155967</v>
      </c>
      <c r="E197" s="105">
        <v>3.8899999999999997E-2</v>
      </c>
      <c r="F197" s="42"/>
      <c r="G197" s="149">
        <f t="shared" si="22"/>
        <v>6202015</v>
      </c>
      <c r="H197" s="149">
        <f t="shared" si="20"/>
        <v>11357982</v>
      </c>
      <c r="I197" s="149">
        <f>H196+H197</f>
        <v>17559998</v>
      </c>
    </row>
    <row r="198" spans="2:9">
      <c r="B198" s="58" t="s">
        <v>45</v>
      </c>
      <c r="C198" s="37"/>
      <c r="D198" s="147"/>
      <c r="E198" s="43"/>
      <c r="F198" s="42"/>
      <c r="G198" s="149">
        <v>6504180</v>
      </c>
      <c r="H198" s="149">
        <f t="shared" si="20"/>
        <v>6504180</v>
      </c>
      <c r="I198" s="150"/>
    </row>
    <row r="199" spans="2:9">
      <c r="B199" s="58" t="s">
        <v>46</v>
      </c>
      <c r="C199" s="37">
        <v>2054</v>
      </c>
      <c r="D199" s="147">
        <v>5076640</v>
      </c>
      <c r="E199" s="105">
        <v>3.9100000000000003E-2</v>
      </c>
      <c r="F199" s="42"/>
      <c r="G199" s="149">
        <f t="shared" si="22"/>
        <v>6504179</v>
      </c>
      <c r="H199" s="149">
        <f t="shared" si="20"/>
        <v>11580819</v>
      </c>
      <c r="I199" s="149">
        <f>H198+H199</f>
        <v>18084999</v>
      </c>
    </row>
    <row r="200" spans="2:9">
      <c r="B200" s="58" t="s">
        <v>45</v>
      </c>
      <c r="C200" s="37"/>
      <c r="D200" s="147"/>
      <c r="E200" s="43"/>
      <c r="F200" s="42"/>
      <c r="G200" s="149">
        <v>6805182</v>
      </c>
      <c r="H200" s="149">
        <f t="shared" ref="H200:H203" si="23">+G200+D200</f>
        <v>6805182</v>
      </c>
      <c r="I200" s="150"/>
    </row>
    <row r="201" spans="2:9">
      <c r="B201" s="58" t="s">
        <v>46</v>
      </c>
      <c r="C201" s="37">
        <v>2055</v>
      </c>
      <c r="D201" s="147">
        <v>4989636</v>
      </c>
      <c r="E201" s="105">
        <v>3.9300000000000002E-2</v>
      </c>
      <c r="F201" s="42"/>
      <c r="G201" s="149">
        <f t="shared" si="22"/>
        <v>6805181</v>
      </c>
      <c r="H201" s="149">
        <f t="shared" si="23"/>
        <v>11794817</v>
      </c>
      <c r="I201" s="149">
        <f>H200+H201</f>
        <v>18599999</v>
      </c>
    </row>
    <row r="202" spans="2:9">
      <c r="B202" s="58" t="s">
        <v>45</v>
      </c>
      <c r="C202" s="37"/>
      <c r="D202" s="147"/>
      <c r="E202" s="43"/>
      <c r="F202" s="42"/>
      <c r="G202" s="149">
        <v>7104575</v>
      </c>
      <c r="H202" s="149">
        <f t="shared" si="23"/>
        <v>7104575</v>
      </c>
      <c r="I202" s="150"/>
    </row>
    <row r="203" spans="2:9">
      <c r="B203" s="58" t="s">
        <v>46</v>
      </c>
      <c r="C203" s="37">
        <v>2056</v>
      </c>
      <c r="D203" s="147">
        <v>4895847</v>
      </c>
      <c r="E203" s="105">
        <v>3.95E-2</v>
      </c>
      <c r="F203" s="42"/>
      <c r="G203" s="149">
        <f>+G202-F202-1+111</f>
        <v>7104685</v>
      </c>
      <c r="H203" s="149">
        <f t="shared" si="23"/>
        <v>12000532</v>
      </c>
      <c r="I203" s="149">
        <f>H202+H203</f>
        <v>19105107</v>
      </c>
    </row>
    <row r="204" spans="2:9">
      <c r="I204" s="150"/>
    </row>
    <row r="205" spans="2:9">
      <c r="I205" s="149"/>
    </row>
    <row r="206" spans="2:9">
      <c r="B206" s="58"/>
      <c r="C206" s="37"/>
      <c r="D206" s="40"/>
      <c r="E206" s="38"/>
      <c r="F206" s="42"/>
      <c r="G206" s="148"/>
      <c r="H206" s="148"/>
      <c r="I206" s="148"/>
    </row>
    <row r="207" spans="2:9">
      <c r="B207" s="41"/>
      <c r="C207" s="41"/>
      <c r="D207" s="203">
        <f>SUM(D140:D203)</f>
        <v>151650345</v>
      </c>
      <c r="E207" s="85"/>
      <c r="F207" s="84">
        <f>SUM(F140:F178)</f>
        <v>0</v>
      </c>
      <c r="G207" s="203">
        <f>SUM(G140:G203)</f>
        <v>186928555</v>
      </c>
      <c r="H207" s="203">
        <f>SUM(H140:H203)</f>
        <v>338578900</v>
      </c>
      <c r="I207" s="203">
        <f>SUM(I140:I205)</f>
        <v>338578900</v>
      </c>
    </row>
    <row r="208" spans="2:9">
      <c r="B208" s="41"/>
      <c r="C208" s="41"/>
      <c r="D208" s="42"/>
      <c r="E208" s="43"/>
      <c r="F208" s="42"/>
      <c r="G208" s="42"/>
      <c r="H208" s="42"/>
      <c r="I208" s="42"/>
    </row>
    <row r="209" spans="2:9">
      <c r="B209" s="60" t="s">
        <v>24</v>
      </c>
      <c r="C209" s="25"/>
      <c r="D209" s="25"/>
      <c r="E209" s="61"/>
      <c r="F209" s="62"/>
      <c r="G209" s="61">
        <v>151650345</v>
      </c>
      <c r="H209" s="62"/>
      <c r="I209" s="63"/>
    </row>
    <row r="210" spans="2:9">
      <c r="B210" s="64" t="s">
        <v>25</v>
      </c>
      <c r="C210" s="56"/>
      <c r="D210" s="14"/>
      <c r="E210" s="53"/>
      <c r="F210" s="54"/>
      <c r="G210" s="59">
        <v>151519833</v>
      </c>
      <c r="H210" s="54"/>
      <c r="I210" s="65"/>
    </row>
    <row r="211" spans="2:9">
      <c r="B211" s="66" t="s">
        <v>26</v>
      </c>
      <c r="C211" s="67"/>
      <c r="D211" s="24"/>
      <c r="E211" s="68"/>
      <c r="F211" s="55"/>
      <c r="G211" s="69">
        <f>G209-G210</f>
        <v>130512</v>
      </c>
      <c r="H211" s="55"/>
      <c r="I211" s="70"/>
    </row>
    <row r="213" spans="2:9">
      <c r="B213" s="222" t="s">
        <v>34</v>
      </c>
      <c r="C213" s="222"/>
      <c r="D213" s="222"/>
      <c r="E213" s="222"/>
      <c r="F213" s="222"/>
      <c r="G213" s="222"/>
      <c r="H213" s="222"/>
      <c r="I213" s="222"/>
    </row>
    <row r="214" spans="2:9">
      <c r="B214" s="222" t="s">
        <v>23</v>
      </c>
      <c r="C214" s="222"/>
      <c r="D214" s="222"/>
      <c r="E214" s="222"/>
      <c r="F214" s="222"/>
      <c r="G214" s="222"/>
      <c r="H214" s="222"/>
      <c r="I214" s="222"/>
    </row>
    <row r="215" spans="2:9">
      <c r="B215" s="222" t="s">
        <v>80</v>
      </c>
      <c r="C215" s="222"/>
      <c r="D215" s="222"/>
      <c r="E215" s="222"/>
      <c r="F215" s="222"/>
      <c r="G215" s="222"/>
      <c r="H215" s="222"/>
      <c r="I215" s="222"/>
    </row>
    <row r="216" spans="2:9">
      <c r="B216" s="222" t="s">
        <v>79</v>
      </c>
      <c r="C216" s="222"/>
      <c r="D216" s="222"/>
      <c r="E216" s="222"/>
      <c r="F216" s="222"/>
      <c r="G216" s="222"/>
      <c r="H216" s="222"/>
      <c r="I216" s="222"/>
    </row>
    <row r="217" spans="2:9">
      <c r="B217" s="56" t="s">
        <v>81</v>
      </c>
      <c r="C217" s="45"/>
      <c r="D217" s="45"/>
      <c r="E217" s="45"/>
      <c r="F217" s="45"/>
      <c r="G217" s="45"/>
      <c r="H217" s="45"/>
      <c r="I217" s="45"/>
    </row>
    <row r="218" spans="2:9">
      <c r="B218" s="56" t="s">
        <v>76</v>
      </c>
      <c r="C218" s="57"/>
      <c r="D218" s="57"/>
      <c r="E218" s="57"/>
      <c r="F218" s="57"/>
      <c r="G218" s="57"/>
      <c r="H218" s="57"/>
      <c r="I218" s="57"/>
    </row>
    <row r="219" spans="2:9">
      <c r="B219" s="49"/>
      <c r="C219" s="50"/>
      <c r="D219" s="46"/>
      <c r="E219" s="47"/>
      <c r="F219" s="48" t="s">
        <v>15</v>
      </c>
      <c r="G219" s="46"/>
      <c r="H219" s="46"/>
      <c r="I219" s="46"/>
    </row>
    <row r="220" spans="2:9">
      <c r="B220" s="223" t="s">
        <v>19</v>
      </c>
      <c r="C220" s="223"/>
      <c r="D220" s="51" t="s">
        <v>14</v>
      </c>
      <c r="E220" s="52" t="s">
        <v>20</v>
      </c>
      <c r="F220" s="51" t="s">
        <v>21</v>
      </c>
      <c r="G220" s="51" t="s">
        <v>15</v>
      </c>
      <c r="H220" s="51" t="s">
        <v>16</v>
      </c>
      <c r="I220" s="51" t="s">
        <v>22</v>
      </c>
    </row>
    <row r="222" spans="2:9">
      <c r="B222" s="58" t="s">
        <v>45</v>
      </c>
      <c r="D222" s="147"/>
      <c r="E222" s="147"/>
      <c r="F222" s="82">
        <f>ROUND(+D222*E222/2,2)</f>
        <v>0</v>
      </c>
      <c r="G222" s="168">
        <v>739175</v>
      </c>
      <c r="H222" s="168">
        <v>739175</v>
      </c>
      <c r="I222" s="149"/>
    </row>
    <row r="223" spans="2:9">
      <c r="B223" s="58" t="s">
        <v>46</v>
      </c>
      <c r="C223" s="39">
        <v>2025</v>
      </c>
      <c r="D223" s="149">
        <v>0</v>
      </c>
      <c r="E223" s="149">
        <v>0</v>
      </c>
      <c r="F223" s="82"/>
      <c r="G223" s="149">
        <v>739175</v>
      </c>
      <c r="H223" s="149">
        <f t="shared" ref="H223:H251" si="24">+G223+D223</f>
        <v>739175</v>
      </c>
      <c r="I223" s="168">
        <f>H222+H223</f>
        <v>1478350</v>
      </c>
    </row>
    <row r="224" spans="2:9">
      <c r="B224" s="58" t="s">
        <v>45</v>
      </c>
      <c r="D224" s="147"/>
      <c r="E224" s="147"/>
      <c r="F224" s="82">
        <f>ROUND(+D224*E224/2,2)</f>
        <v>0</v>
      </c>
      <c r="G224" s="149">
        <v>739175</v>
      </c>
      <c r="H224" s="149">
        <f t="shared" si="24"/>
        <v>739175</v>
      </c>
      <c r="I224" s="149"/>
    </row>
    <row r="225" spans="2:9">
      <c r="B225" s="58" t="s">
        <v>46</v>
      </c>
      <c r="C225" s="39">
        <v>2026</v>
      </c>
      <c r="D225" s="149">
        <v>0</v>
      </c>
      <c r="E225" s="149">
        <v>0</v>
      </c>
      <c r="F225" s="82"/>
      <c r="G225" s="149">
        <v>739175</v>
      </c>
      <c r="H225" s="149">
        <f t="shared" si="24"/>
        <v>739175</v>
      </c>
      <c r="I225" s="149">
        <f>H224+H225</f>
        <v>1478350</v>
      </c>
    </row>
    <row r="226" spans="2:9">
      <c r="B226" s="58" t="s">
        <v>45</v>
      </c>
      <c r="D226" s="147"/>
      <c r="E226" s="147"/>
      <c r="F226" s="82">
        <f>ROUND(+D226*E226/2,2)</f>
        <v>0</v>
      </c>
      <c r="G226" s="149">
        <v>739175</v>
      </c>
      <c r="H226" s="149">
        <f t="shared" si="24"/>
        <v>739175</v>
      </c>
      <c r="I226" s="149"/>
    </row>
    <row r="227" spans="2:9">
      <c r="B227" s="58" t="s">
        <v>46</v>
      </c>
      <c r="C227" s="39">
        <v>2027</v>
      </c>
      <c r="D227" s="149">
        <v>0</v>
      </c>
      <c r="E227" s="149">
        <v>0</v>
      </c>
      <c r="F227" s="82"/>
      <c r="G227" s="149">
        <v>739175</v>
      </c>
      <c r="H227" s="149">
        <f t="shared" si="24"/>
        <v>739175</v>
      </c>
      <c r="I227" s="149">
        <f>H226+H227</f>
        <v>1478350</v>
      </c>
    </row>
    <row r="228" spans="2:9">
      <c r="B228" s="58" t="s">
        <v>45</v>
      </c>
      <c r="D228" s="147"/>
      <c r="E228" s="105"/>
      <c r="F228" s="82">
        <f>ROUND(+D228*E228/2,2)</f>
        <v>0</v>
      </c>
      <c r="G228" s="149">
        <v>739175</v>
      </c>
      <c r="H228" s="149">
        <f t="shared" si="24"/>
        <v>739175</v>
      </c>
      <c r="I228" s="149"/>
    </row>
    <row r="229" spans="2:9">
      <c r="B229" s="58" t="s">
        <v>46</v>
      </c>
      <c r="C229" s="39">
        <v>2028</v>
      </c>
      <c r="D229" s="149">
        <v>240000</v>
      </c>
      <c r="E229" s="105">
        <v>0.05</v>
      </c>
      <c r="F229" s="82"/>
      <c r="G229" s="149">
        <v>739175</v>
      </c>
      <c r="H229" s="149">
        <f t="shared" si="24"/>
        <v>979175</v>
      </c>
      <c r="I229" s="149">
        <f>H228+H229</f>
        <v>1718350</v>
      </c>
    </row>
    <row r="230" spans="2:9">
      <c r="B230" s="58" t="s">
        <v>45</v>
      </c>
      <c r="D230" s="147"/>
      <c r="E230" s="105"/>
      <c r="F230" s="82">
        <f>ROUND(+D230*E230/2,2)</f>
        <v>0</v>
      </c>
      <c r="G230" s="149">
        <v>733175</v>
      </c>
      <c r="H230" s="149">
        <f t="shared" si="24"/>
        <v>733175</v>
      </c>
      <c r="I230" s="149"/>
    </row>
    <row r="231" spans="2:9">
      <c r="B231" s="58" t="s">
        <v>46</v>
      </c>
      <c r="C231" s="39">
        <v>2029</v>
      </c>
      <c r="D231" s="149">
        <v>475000</v>
      </c>
      <c r="E231" s="105">
        <v>0.05</v>
      </c>
      <c r="F231" s="82"/>
      <c r="G231" s="149">
        <v>733175</v>
      </c>
      <c r="H231" s="149">
        <f t="shared" si="24"/>
        <v>1208175</v>
      </c>
      <c r="I231" s="149">
        <f>H230+H231</f>
        <v>1941350</v>
      </c>
    </row>
    <row r="232" spans="2:9">
      <c r="B232" s="58" t="s">
        <v>45</v>
      </c>
      <c r="D232" s="147"/>
      <c r="E232" s="105"/>
      <c r="F232" s="82">
        <f>ROUND(+D232*E232/2,2)</f>
        <v>0</v>
      </c>
      <c r="G232" s="149">
        <v>721300</v>
      </c>
      <c r="H232" s="149">
        <f t="shared" si="24"/>
        <v>721300</v>
      </c>
      <c r="I232" s="149"/>
    </row>
    <row r="233" spans="2:9">
      <c r="B233" s="58" t="s">
        <v>46</v>
      </c>
      <c r="C233" s="39">
        <v>2030</v>
      </c>
      <c r="D233" s="149">
        <v>960000</v>
      </c>
      <c r="E233" s="105">
        <v>0.05</v>
      </c>
      <c r="F233" s="82"/>
      <c r="G233" s="149">
        <f t="shared" ref="G233" si="25">+G232-F232</f>
        <v>721300</v>
      </c>
      <c r="H233" s="149">
        <f t="shared" si="24"/>
        <v>1681300</v>
      </c>
      <c r="I233" s="149">
        <f>H232+H233</f>
        <v>2402600</v>
      </c>
    </row>
    <row r="234" spans="2:9">
      <c r="B234" s="58" t="s">
        <v>45</v>
      </c>
      <c r="D234" s="147"/>
      <c r="E234" s="105"/>
      <c r="F234" s="82">
        <f>ROUND(+D234*E234/2,2)</f>
        <v>0</v>
      </c>
      <c r="G234" s="149">
        <v>697300</v>
      </c>
      <c r="H234" s="149">
        <f t="shared" si="24"/>
        <v>697300</v>
      </c>
      <c r="I234" s="149"/>
    </row>
    <row r="235" spans="2:9">
      <c r="B235" s="58" t="s">
        <v>46</v>
      </c>
      <c r="C235" s="39">
        <v>2031</v>
      </c>
      <c r="D235" s="149">
        <v>1475000</v>
      </c>
      <c r="E235" s="105">
        <v>0.05</v>
      </c>
      <c r="F235" s="82"/>
      <c r="G235" s="149">
        <f>+G234-F234+1</f>
        <v>697301</v>
      </c>
      <c r="H235" s="149">
        <f t="shared" si="24"/>
        <v>2172301</v>
      </c>
      <c r="I235" s="149">
        <f>H234+H235</f>
        <v>2869601</v>
      </c>
    </row>
    <row r="236" spans="2:9">
      <c r="B236" s="58" t="s">
        <v>45</v>
      </c>
      <c r="D236" s="147"/>
      <c r="E236" s="105"/>
      <c r="F236" s="82">
        <f>ROUND(+D236*E236/2,2)</f>
        <v>0</v>
      </c>
      <c r="G236" s="149">
        <v>660425</v>
      </c>
      <c r="H236" s="149">
        <f t="shared" si="24"/>
        <v>660425</v>
      </c>
      <c r="I236" s="149"/>
    </row>
    <row r="237" spans="2:9">
      <c r="B237" s="58" t="s">
        <v>46</v>
      </c>
      <c r="C237" s="39">
        <v>2032</v>
      </c>
      <c r="D237" s="149">
        <v>1750000</v>
      </c>
      <c r="E237" s="105">
        <v>0.05</v>
      </c>
      <c r="F237" s="82"/>
      <c r="G237" s="149">
        <f t="shared" ref="G237" si="26">+G236-F236</f>
        <v>660425</v>
      </c>
      <c r="H237" s="149">
        <f t="shared" si="24"/>
        <v>2410425</v>
      </c>
      <c r="I237" s="149">
        <f>H236+H237</f>
        <v>3070850</v>
      </c>
    </row>
    <row r="238" spans="2:9">
      <c r="B238" s="58" t="s">
        <v>45</v>
      </c>
      <c r="D238" s="147"/>
      <c r="E238" s="105"/>
      <c r="F238" s="82">
        <f>ROUND(+D238*E238/2,2)</f>
        <v>0</v>
      </c>
      <c r="G238" s="149">
        <v>616675</v>
      </c>
      <c r="H238" s="149">
        <f t="shared" si="24"/>
        <v>616675</v>
      </c>
      <c r="I238" s="149"/>
    </row>
    <row r="239" spans="2:9">
      <c r="B239" s="58" t="s">
        <v>46</v>
      </c>
      <c r="C239" s="39">
        <v>2033</v>
      </c>
      <c r="D239" s="149">
        <v>1990000</v>
      </c>
      <c r="E239" s="105">
        <v>0.05</v>
      </c>
      <c r="F239" s="82"/>
      <c r="G239" s="149">
        <f t="shared" ref="G239" si="27">+G238-F238</f>
        <v>616675</v>
      </c>
      <c r="H239" s="149">
        <f t="shared" si="24"/>
        <v>2606675</v>
      </c>
      <c r="I239" s="149">
        <f>H238+H239</f>
        <v>3223350</v>
      </c>
    </row>
    <row r="240" spans="2:9">
      <c r="B240" s="58" t="s">
        <v>45</v>
      </c>
      <c r="D240" s="147"/>
      <c r="E240" s="105"/>
      <c r="F240" s="82">
        <f>ROUND(+D240*E240/2,2)</f>
        <v>0</v>
      </c>
      <c r="G240" s="149">
        <v>566925</v>
      </c>
      <c r="H240" s="149">
        <f t="shared" si="24"/>
        <v>566925</v>
      </c>
      <c r="I240" s="149"/>
    </row>
    <row r="241" spans="2:9">
      <c r="B241" s="58" t="s">
        <v>46</v>
      </c>
      <c r="C241" s="39">
        <v>2034</v>
      </c>
      <c r="D241" s="149">
        <v>2225000</v>
      </c>
      <c r="E241" s="105">
        <v>0.05</v>
      </c>
      <c r="F241" s="82"/>
      <c r="G241" s="149">
        <f>+G240-F240+1</f>
        <v>566926</v>
      </c>
      <c r="H241" s="149">
        <f t="shared" si="24"/>
        <v>2791926</v>
      </c>
      <c r="I241" s="149">
        <f>H240+H241</f>
        <v>3358851</v>
      </c>
    </row>
    <row r="242" spans="2:9">
      <c r="B242" s="58" t="s">
        <v>45</v>
      </c>
      <c r="D242" s="147"/>
      <c r="E242" s="105"/>
      <c r="F242" s="82">
        <f>ROUND(+D242*E242/2,2)</f>
        <v>0</v>
      </c>
      <c r="G242" s="149">
        <v>511300</v>
      </c>
      <c r="H242" s="149">
        <f t="shared" si="24"/>
        <v>511300</v>
      </c>
      <c r="I242" s="149"/>
    </row>
    <row r="243" spans="2:9">
      <c r="B243" s="58" t="s">
        <v>46</v>
      </c>
      <c r="C243" s="39">
        <v>2035</v>
      </c>
      <c r="D243" s="149">
        <v>2560000</v>
      </c>
      <c r="E243" s="105">
        <v>0.05</v>
      </c>
      <c r="F243" s="82"/>
      <c r="G243" s="149">
        <f t="shared" ref="G243" si="28">+G242-F242</f>
        <v>511300</v>
      </c>
      <c r="H243" s="149">
        <f t="shared" si="24"/>
        <v>3071300</v>
      </c>
      <c r="I243" s="149">
        <f>H242+H243</f>
        <v>3582600</v>
      </c>
    </row>
    <row r="244" spans="2:9">
      <c r="B244" s="58" t="s">
        <v>45</v>
      </c>
      <c r="D244" s="147"/>
      <c r="E244" s="105"/>
      <c r="F244" s="82">
        <f>ROUND(+D244*E244/2,2)</f>
        <v>0</v>
      </c>
      <c r="G244" s="149">
        <v>447300</v>
      </c>
      <c r="H244" s="149">
        <f t="shared" si="24"/>
        <v>447300</v>
      </c>
      <c r="I244" s="149"/>
    </row>
    <row r="245" spans="2:9">
      <c r="B245" s="58" t="s">
        <v>46</v>
      </c>
      <c r="C245" s="39">
        <v>2036</v>
      </c>
      <c r="D245" s="147">
        <v>2820000</v>
      </c>
      <c r="E245" s="105">
        <v>0.05</v>
      </c>
      <c r="F245" s="82"/>
      <c r="G245" s="149">
        <f t="shared" ref="G245" si="29">+G244-F244</f>
        <v>447300</v>
      </c>
      <c r="H245" s="149">
        <f t="shared" si="24"/>
        <v>3267300</v>
      </c>
      <c r="I245" s="149">
        <f>H244+H245</f>
        <v>3714600</v>
      </c>
    </row>
    <row r="246" spans="2:9">
      <c r="B246" s="58" t="s">
        <v>45</v>
      </c>
      <c r="C246" s="39"/>
      <c r="D246" s="147"/>
      <c r="E246" s="105"/>
      <c r="F246" s="82"/>
      <c r="G246" s="149">
        <v>376800</v>
      </c>
      <c r="H246" s="149">
        <f t="shared" si="24"/>
        <v>376800</v>
      </c>
      <c r="I246" s="149"/>
    </row>
    <row r="247" spans="2:9">
      <c r="B247" s="58" t="s">
        <v>46</v>
      </c>
      <c r="C247" s="39">
        <v>2037</v>
      </c>
      <c r="D247" s="147">
        <v>3120000</v>
      </c>
      <c r="E247" s="105">
        <v>0.04</v>
      </c>
      <c r="F247" s="82"/>
      <c r="G247" s="149">
        <f t="shared" ref="G247" si="30">+G246-F246</f>
        <v>376800</v>
      </c>
      <c r="H247" s="149">
        <f t="shared" si="24"/>
        <v>3496800</v>
      </c>
      <c r="I247" s="149">
        <f>H246+H247</f>
        <v>3873600</v>
      </c>
    </row>
    <row r="248" spans="2:9">
      <c r="B248" s="58" t="s">
        <v>45</v>
      </c>
      <c r="C248" s="39"/>
      <c r="D248" s="147"/>
      <c r="E248" s="105"/>
      <c r="F248" s="82"/>
      <c r="G248" s="149">
        <v>314400</v>
      </c>
      <c r="H248" s="149">
        <f t="shared" si="24"/>
        <v>314400</v>
      </c>
      <c r="I248" s="149"/>
    </row>
    <row r="249" spans="2:9">
      <c r="B249" s="58" t="s">
        <v>46</v>
      </c>
      <c r="C249" s="39">
        <v>2038</v>
      </c>
      <c r="D249" s="147">
        <v>3475000</v>
      </c>
      <c r="E249" s="105">
        <v>0.04</v>
      </c>
      <c r="F249" s="82"/>
      <c r="G249" s="149">
        <f>+G248-F248+1</f>
        <v>314401</v>
      </c>
      <c r="H249" s="149">
        <f t="shared" si="24"/>
        <v>3789401</v>
      </c>
      <c r="I249" s="149">
        <f>H248+H249</f>
        <v>4103801</v>
      </c>
    </row>
    <row r="250" spans="2:9">
      <c r="B250" s="58" t="s">
        <v>45</v>
      </c>
      <c r="C250" s="39"/>
      <c r="D250" s="147"/>
      <c r="E250" s="105"/>
      <c r="F250" s="82"/>
      <c r="G250" s="149">
        <v>244900</v>
      </c>
      <c r="H250" s="149">
        <f t="shared" si="24"/>
        <v>244900</v>
      </c>
      <c r="I250" s="149"/>
    </row>
    <row r="251" spans="2:9">
      <c r="B251" s="58" t="s">
        <v>46</v>
      </c>
      <c r="C251" s="39">
        <v>2039</v>
      </c>
      <c r="D251" s="147">
        <v>3755000</v>
      </c>
      <c r="E251" s="105">
        <v>0.04</v>
      </c>
      <c r="F251" s="82"/>
      <c r="G251" s="149">
        <f>+G250-F250-1</f>
        <v>244899</v>
      </c>
      <c r="H251" s="149">
        <f t="shared" si="24"/>
        <v>3999899</v>
      </c>
      <c r="I251" s="149">
        <f>H250+H251</f>
        <v>4244799</v>
      </c>
    </row>
    <row r="252" spans="2:9">
      <c r="B252" s="58" t="s">
        <v>45</v>
      </c>
      <c r="C252" s="39"/>
      <c r="D252" s="147"/>
      <c r="E252" s="105"/>
      <c r="F252" s="82"/>
      <c r="G252" s="149">
        <v>169800</v>
      </c>
      <c r="H252" s="149">
        <f t="shared" ref="H252:H281" si="31">+G252+D252</f>
        <v>169800</v>
      </c>
      <c r="I252" s="149"/>
    </row>
    <row r="253" spans="2:9">
      <c r="B253" s="58" t="s">
        <v>46</v>
      </c>
      <c r="C253" s="39">
        <v>2040</v>
      </c>
      <c r="D253" s="147">
        <v>4040000</v>
      </c>
      <c r="E253" s="105">
        <v>0.04</v>
      </c>
      <c r="F253" s="82"/>
      <c r="G253" s="149">
        <f t="shared" ref="G253" si="32">+G252-F252</f>
        <v>169800</v>
      </c>
      <c r="H253" s="149">
        <f t="shared" si="31"/>
        <v>4209800</v>
      </c>
      <c r="I253" s="149">
        <f>H252+H253</f>
        <v>4379600</v>
      </c>
    </row>
    <row r="254" spans="2:9">
      <c r="B254" s="58" t="s">
        <v>45</v>
      </c>
      <c r="C254" s="39"/>
      <c r="D254" s="147"/>
      <c r="E254" s="105"/>
      <c r="F254" s="82"/>
      <c r="G254" s="149">
        <v>89000</v>
      </c>
      <c r="H254" s="149">
        <f t="shared" si="31"/>
        <v>89000</v>
      </c>
      <c r="I254" s="149"/>
    </row>
    <row r="255" spans="2:9">
      <c r="B255" s="58" t="s">
        <v>46</v>
      </c>
      <c r="C255" s="39">
        <v>2041</v>
      </c>
      <c r="D255" s="147">
        <v>4450000</v>
      </c>
      <c r="E255" s="105">
        <v>0.04</v>
      </c>
      <c r="F255" s="82"/>
      <c r="G255" s="149">
        <f>+G254-F254-1</f>
        <v>88999</v>
      </c>
      <c r="H255" s="149">
        <f t="shared" si="31"/>
        <v>4538999</v>
      </c>
      <c r="I255" s="149">
        <f>H254+H255</f>
        <v>4627999</v>
      </c>
    </row>
    <row r="256" spans="2:9">
      <c r="B256" s="58" t="s">
        <v>45</v>
      </c>
      <c r="C256" s="39"/>
      <c r="D256" s="147"/>
      <c r="E256" s="105"/>
      <c r="F256" s="82"/>
      <c r="G256" s="149">
        <v>1335144</v>
      </c>
      <c r="H256" s="149">
        <f t="shared" si="31"/>
        <v>1335144</v>
      </c>
      <c r="I256" s="149"/>
    </row>
    <row r="257" spans="2:9">
      <c r="B257" s="58" t="s">
        <v>46</v>
      </c>
      <c r="C257" s="39">
        <v>2042</v>
      </c>
      <c r="D257" s="147">
        <v>2124712</v>
      </c>
      <c r="E257" s="105">
        <v>3.95E-2</v>
      </c>
      <c r="F257" s="82"/>
      <c r="G257" s="149">
        <f>+G256-F256+1</f>
        <v>1335145</v>
      </c>
      <c r="H257" s="149">
        <f t="shared" si="31"/>
        <v>3459857</v>
      </c>
      <c r="I257" s="149">
        <f>H256+H257</f>
        <v>4795001</v>
      </c>
    </row>
    <row r="258" spans="2:9">
      <c r="B258" s="58" t="s">
        <v>45</v>
      </c>
      <c r="C258" s="39"/>
      <c r="D258" s="147"/>
      <c r="E258" s="105"/>
      <c r="F258" s="82"/>
      <c r="G258" s="149">
        <v>1438162</v>
      </c>
      <c r="H258" s="149">
        <f t="shared" si="31"/>
        <v>1438162</v>
      </c>
      <c r="I258" s="149"/>
    </row>
    <row r="259" spans="2:9">
      <c r="B259" s="58" t="s">
        <v>46</v>
      </c>
      <c r="C259" s="39">
        <v>2043</v>
      </c>
      <c r="D259" s="147">
        <v>2088676</v>
      </c>
      <c r="E259" s="105">
        <v>4.0099999999999997E-2</v>
      </c>
      <c r="F259" s="82"/>
      <c r="G259" s="149">
        <f>+G258-F258-1</f>
        <v>1438161</v>
      </c>
      <c r="H259" s="149">
        <f t="shared" si="31"/>
        <v>3526837</v>
      </c>
      <c r="I259" s="149">
        <f>H258+H259</f>
        <v>4964999</v>
      </c>
    </row>
    <row r="260" spans="2:9">
      <c r="B260" s="58" t="s">
        <v>45</v>
      </c>
      <c r="C260" s="37"/>
      <c r="D260" s="150"/>
      <c r="E260" s="43"/>
      <c r="F260" s="42"/>
      <c r="G260" s="149">
        <v>1700065</v>
      </c>
      <c r="H260" s="149">
        <f t="shared" si="31"/>
        <v>1700065</v>
      </c>
      <c r="I260" s="150"/>
    </row>
    <row r="261" spans="2:9">
      <c r="B261" s="58" t="s">
        <v>46</v>
      </c>
      <c r="C261" s="37">
        <v>2044</v>
      </c>
      <c r="D261" s="147">
        <v>2239870</v>
      </c>
      <c r="E261" s="105">
        <v>4.0899999999999999E-2</v>
      </c>
      <c r="F261" s="42"/>
      <c r="G261" s="149">
        <f>+G260-F260-1</f>
        <v>1700064</v>
      </c>
      <c r="H261" s="149">
        <f t="shared" si="31"/>
        <v>3939934</v>
      </c>
      <c r="I261" s="149">
        <f>H260+H261</f>
        <v>5639999</v>
      </c>
    </row>
    <row r="262" spans="2:9">
      <c r="B262" s="58" t="s">
        <v>45</v>
      </c>
      <c r="C262" s="37"/>
      <c r="D262" s="150"/>
      <c r="E262" s="105"/>
      <c r="F262" s="42"/>
      <c r="G262" s="149">
        <v>1810928</v>
      </c>
      <c r="H262" s="149">
        <f t="shared" si="31"/>
        <v>1810928</v>
      </c>
      <c r="I262" s="150"/>
    </row>
    <row r="263" spans="2:9">
      <c r="B263" s="58" t="s">
        <v>46</v>
      </c>
      <c r="C263" s="37">
        <v>2045</v>
      </c>
      <c r="D263" s="147">
        <v>2183144</v>
      </c>
      <c r="E263" s="105">
        <v>4.1500000000000002E-2</v>
      </c>
      <c r="F263" s="42"/>
      <c r="G263" s="149">
        <f t="shared" ref="G263" si="33">+G262-F262-1</f>
        <v>1810927</v>
      </c>
      <c r="H263" s="149">
        <f t="shared" si="31"/>
        <v>3994071</v>
      </c>
      <c r="I263" s="149">
        <f>H262+H263</f>
        <v>5804999</v>
      </c>
    </row>
    <row r="264" spans="2:9">
      <c r="B264" s="58" t="s">
        <v>45</v>
      </c>
      <c r="C264" s="37"/>
      <c r="D264" s="150"/>
      <c r="E264" s="105"/>
      <c r="F264" s="42"/>
      <c r="G264" s="149">
        <v>1909950</v>
      </c>
      <c r="H264" s="149">
        <f t="shared" si="31"/>
        <v>1909950</v>
      </c>
      <c r="I264" s="150"/>
    </row>
    <row r="265" spans="2:9">
      <c r="B265" s="58" t="s">
        <v>46</v>
      </c>
      <c r="C265" s="37">
        <v>2046</v>
      </c>
      <c r="D265" s="147">
        <v>2125100</v>
      </c>
      <c r="E265" s="105">
        <v>4.19E-2</v>
      </c>
      <c r="F265" s="42"/>
      <c r="G265" s="149">
        <f t="shared" ref="G265" si="34">+G264-F264-1</f>
        <v>1909949</v>
      </c>
      <c r="H265" s="149">
        <f t="shared" si="31"/>
        <v>4035049</v>
      </c>
      <c r="I265" s="149">
        <f>H264+H265</f>
        <v>5944999</v>
      </c>
    </row>
    <row r="266" spans="2:9">
      <c r="B266" s="58" t="s">
        <v>45</v>
      </c>
      <c r="C266" s="37"/>
      <c r="D266" s="150"/>
      <c r="E266" s="105"/>
      <c r="F266" s="42"/>
      <c r="G266" s="149">
        <v>2043896</v>
      </c>
      <c r="H266" s="149">
        <f t="shared" si="31"/>
        <v>2043896</v>
      </c>
      <c r="I266" s="150"/>
    </row>
    <row r="267" spans="2:9">
      <c r="B267" s="58" t="s">
        <v>46</v>
      </c>
      <c r="C267" s="37">
        <v>2047</v>
      </c>
      <c r="D267" s="147">
        <v>2117208</v>
      </c>
      <c r="E267" s="105">
        <v>4.2099999999999999E-2</v>
      </c>
      <c r="F267" s="42"/>
      <c r="G267" s="149">
        <f t="shared" ref="G267" si="35">+G266-F266-1</f>
        <v>2043895</v>
      </c>
      <c r="H267" s="149">
        <f t="shared" si="31"/>
        <v>4161103</v>
      </c>
      <c r="I267" s="149">
        <f>H266+H267</f>
        <v>6204999</v>
      </c>
    </row>
    <row r="268" spans="2:9">
      <c r="B268" s="58" t="s">
        <v>45</v>
      </c>
      <c r="C268" s="37"/>
      <c r="D268" s="147"/>
      <c r="E268" s="43"/>
      <c r="F268" s="42"/>
      <c r="G268" s="149">
        <v>2144688</v>
      </c>
      <c r="H268" s="149">
        <f t="shared" si="31"/>
        <v>2144688</v>
      </c>
      <c r="I268" s="150"/>
    </row>
    <row r="269" spans="2:9">
      <c r="B269" s="58" t="s">
        <v>46</v>
      </c>
      <c r="C269" s="37">
        <v>2048</v>
      </c>
      <c r="D269" s="147">
        <v>2070625</v>
      </c>
      <c r="E269" s="105">
        <v>4.2299999999999997E-2</v>
      </c>
      <c r="F269" s="42"/>
      <c r="G269" s="149">
        <f t="shared" ref="G269" si="36">+G268-F268-1</f>
        <v>2144687</v>
      </c>
      <c r="H269" s="149">
        <f t="shared" si="31"/>
        <v>4215312</v>
      </c>
      <c r="I269" s="149">
        <f>H268+H269</f>
        <v>6360000</v>
      </c>
    </row>
    <row r="270" spans="2:9">
      <c r="B270" s="58" t="s">
        <v>45</v>
      </c>
      <c r="C270" s="37"/>
      <c r="D270" s="147"/>
      <c r="E270" s="43"/>
      <c r="F270" s="42"/>
      <c r="G270" s="149">
        <v>2251120</v>
      </c>
      <c r="H270" s="149">
        <f t="shared" si="31"/>
        <v>2251120</v>
      </c>
      <c r="I270" s="150"/>
    </row>
    <row r="271" spans="2:9">
      <c r="B271" s="58" t="s">
        <v>46</v>
      </c>
      <c r="C271" s="37">
        <v>2049</v>
      </c>
      <c r="D271" s="147">
        <v>2027761</v>
      </c>
      <c r="E271" s="105">
        <v>4.2500000000000003E-2</v>
      </c>
      <c r="F271" s="42"/>
      <c r="G271" s="149">
        <f t="shared" ref="G271" si="37">+G270-F270-1</f>
        <v>2251119</v>
      </c>
      <c r="H271" s="149">
        <f t="shared" si="31"/>
        <v>4278880</v>
      </c>
      <c r="I271" s="149">
        <f>H270+H271</f>
        <v>6530000</v>
      </c>
    </row>
    <row r="272" spans="2:9">
      <c r="B272" s="58" t="s">
        <v>45</v>
      </c>
      <c r="C272" s="37"/>
      <c r="D272" s="147"/>
      <c r="E272" s="43"/>
      <c r="F272" s="42"/>
      <c r="G272" s="149">
        <v>2396916</v>
      </c>
      <c r="H272" s="149">
        <f t="shared" si="31"/>
        <v>2396916</v>
      </c>
      <c r="I272" s="150"/>
    </row>
    <row r="273" spans="2:9">
      <c r="B273" s="58" t="s">
        <v>46</v>
      </c>
      <c r="C273" s="37">
        <v>2050</v>
      </c>
      <c r="D273" s="147">
        <v>2016169</v>
      </c>
      <c r="E273" s="105">
        <v>4.2700000000000002E-2</v>
      </c>
      <c r="F273" s="42"/>
      <c r="G273" s="149">
        <f t="shared" ref="G273" si="38">+G272-F272-1</f>
        <v>2396915</v>
      </c>
      <c r="H273" s="149">
        <f t="shared" si="31"/>
        <v>4413084</v>
      </c>
      <c r="I273" s="149">
        <f>H272+H273</f>
        <v>6810000</v>
      </c>
    </row>
    <row r="274" spans="2:9">
      <c r="B274" s="58" t="s">
        <v>45</v>
      </c>
      <c r="C274" s="37"/>
      <c r="D274" s="147"/>
      <c r="E274" s="43"/>
      <c r="F274" s="42"/>
      <c r="G274" s="149">
        <v>2596786</v>
      </c>
      <c r="H274" s="149">
        <f t="shared" si="31"/>
        <v>2596786</v>
      </c>
      <c r="I274" s="150"/>
    </row>
    <row r="275" spans="2:9">
      <c r="B275" s="58" t="s">
        <v>46</v>
      </c>
      <c r="C275" s="37">
        <v>2051</v>
      </c>
      <c r="D275" s="147">
        <v>2041428</v>
      </c>
      <c r="E275" s="105">
        <v>4.2900000000000001E-2</v>
      </c>
      <c r="F275" s="42"/>
      <c r="G275" s="149">
        <f t="shared" ref="G275" si="39">+G274-F274-1</f>
        <v>2596785</v>
      </c>
      <c r="H275" s="149">
        <f t="shared" si="31"/>
        <v>4638213</v>
      </c>
      <c r="I275" s="149">
        <f>H274+H275</f>
        <v>7234999</v>
      </c>
    </row>
    <row r="276" spans="2:9">
      <c r="B276" s="58" t="s">
        <v>45</v>
      </c>
      <c r="C276" s="37"/>
      <c r="D276" s="147"/>
      <c r="E276" s="43"/>
      <c r="F276" s="42"/>
      <c r="G276" s="149">
        <v>2708400</v>
      </c>
      <c r="H276" s="149">
        <f t="shared" si="31"/>
        <v>2708400</v>
      </c>
      <c r="I276" s="150"/>
    </row>
    <row r="277" spans="2:9">
      <c r="B277" s="58" t="s">
        <v>46</v>
      </c>
      <c r="C277" s="37">
        <v>2052</v>
      </c>
      <c r="D277" s="147">
        <v>1983200</v>
      </c>
      <c r="E277" s="105">
        <v>4.3200000000000002E-2</v>
      </c>
      <c r="F277" s="42"/>
      <c r="G277" s="149">
        <f t="shared" ref="G277" si="40">+G276-F276-1</f>
        <v>2708399</v>
      </c>
      <c r="H277" s="149">
        <f t="shared" si="31"/>
        <v>4691599</v>
      </c>
      <c r="I277" s="149">
        <f>H276+H277</f>
        <v>7399999</v>
      </c>
    </row>
    <row r="278" spans="2:9">
      <c r="B278" s="58" t="s">
        <v>45</v>
      </c>
      <c r="C278" s="37"/>
      <c r="D278" s="147"/>
      <c r="E278" s="43"/>
      <c r="F278" s="42"/>
      <c r="G278" s="149">
        <v>2850762</v>
      </c>
      <c r="H278" s="149">
        <f t="shared" si="31"/>
        <v>2850762</v>
      </c>
      <c r="I278" s="150"/>
    </row>
    <row r="279" spans="2:9">
      <c r="B279" s="58" t="s">
        <v>46</v>
      </c>
      <c r="C279" s="37">
        <v>2053</v>
      </c>
      <c r="D279" s="147">
        <v>1953479</v>
      </c>
      <c r="E279" s="105">
        <v>4.3400000000000001E-2</v>
      </c>
      <c r="F279" s="42"/>
      <c r="G279" s="149">
        <f t="shared" ref="G279" si="41">+G278-F278-1</f>
        <v>2850761</v>
      </c>
      <c r="H279" s="149">
        <f t="shared" si="31"/>
        <v>4804240</v>
      </c>
      <c r="I279" s="149">
        <f>H278+H279</f>
        <v>7655002</v>
      </c>
    </row>
    <row r="280" spans="2:9">
      <c r="B280" s="58" t="s">
        <v>45</v>
      </c>
      <c r="C280" s="37"/>
      <c r="D280" s="147"/>
      <c r="E280" s="43"/>
      <c r="F280" s="42"/>
      <c r="G280" s="149">
        <v>2962154</v>
      </c>
      <c r="H280" s="149">
        <f t="shared" si="31"/>
        <v>2962154</v>
      </c>
      <c r="I280" s="150"/>
    </row>
    <row r="281" spans="2:9">
      <c r="B281" s="58" t="s">
        <v>46</v>
      </c>
      <c r="C281" s="37">
        <v>2054</v>
      </c>
      <c r="D281" s="147">
        <v>1900693</v>
      </c>
      <c r="E281" s="105">
        <v>4.36E-2</v>
      </c>
      <c r="F281" s="42"/>
      <c r="G281" s="149">
        <f t="shared" ref="G281" si="42">+G280-F280-1</f>
        <v>2962153</v>
      </c>
      <c r="H281" s="149">
        <f t="shared" si="31"/>
        <v>4862846</v>
      </c>
      <c r="I281" s="149">
        <f>H280+H281</f>
        <v>7825000</v>
      </c>
    </row>
    <row r="282" spans="2:9">
      <c r="B282" s="58" t="s">
        <v>45</v>
      </c>
      <c r="C282" s="37"/>
      <c r="D282" s="147"/>
      <c r="E282" s="43"/>
      <c r="F282" s="42"/>
      <c r="G282" s="149">
        <v>3073638</v>
      </c>
      <c r="H282" s="149">
        <f t="shared" ref="H282:H285" si="43">+G282+D282</f>
        <v>3073638</v>
      </c>
      <c r="I282" s="150"/>
    </row>
    <row r="283" spans="2:9">
      <c r="B283" s="58" t="s">
        <v>46</v>
      </c>
      <c r="C283" s="37">
        <v>2055</v>
      </c>
      <c r="D283" s="147">
        <v>1847724</v>
      </c>
      <c r="E283" s="105">
        <v>4.3799999999999999E-2</v>
      </c>
      <c r="F283" s="42"/>
      <c r="G283" s="149">
        <f>+G282-F282</f>
        <v>3073638</v>
      </c>
      <c r="H283" s="149">
        <f t="shared" si="43"/>
        <v>4921362</v>
      </c>
      <c r="I283" s="149">
        <f>H282+H283</f>
        <v>7995000</v>
      </c>
    </row>
    <row r="284" spans="2:9">
      <c r="B284" s="58" t="s">
        <v>45</v>
      </c>
      <c r="C284" s="37"/>
      <c r="D284" s="147"/>
      <c r="E284" s="43"/>
      <c r="F284" s="42"/>
      <c r="G284" s="149">
        <v>3247540</v>
      </c>
      <c r="H284" s="149">
        <f t="shared" si="43"/>
        <v>3247540</v>
      </c>
      <c r="I284" s="150"/>
    </row>
    <row r="285" spans="2:9">
      <c r="B285" s="58" t="s">
        <v>46</v>
      </c>
      <c r="C285" s="37">
        <v>2056</v>
      </c>
      <c r="D285" s="147">
        <v>1829918</v>
      </c>
      <c r="E285" s="105">
        <v>4.3999999999999997E-2</v>
      </c>
      <c r="F285" s="42"/>
      <c r="G285" s="149">
        <f>+G284-F284+5</f>
        <v>3247545</v>
      </c>
      <c r="H285" s="149">
        <f t="shared" si="43"/>
        <v>5077463</v>
      </c>
      <c r="I285" s="149">
        <f>H284+H285</f>
        <v>8325003</v>
      </c>
    </row>
    <row r="288" spans="2:9">
      <c r="B288" s="58"/>
      <c r="C288" s="37"/>
      <c r="D288" s="40"/>
      <c r="E288" s="38"/>
      <c r="F288" s="42"/>
      <c r="G288" s="148"/>
      <c r="H288" s="148"/>
      <c r="I288" s="148"/>
    </row>
    <row r="289" spans="2:9">
      <c r="B289" s="41"/>
      <c r="C289" s="41"/>
      <c r="D289" s="203">
        <f>SUM(D222:D285)</f>
        <v>63884707</v>
      </c>
      <c r="E289" s="85"/>
      <c r="F289" s="84">
        <f>SUM(F222:F260)</f>
        <v>0</v>
      </c>
      <c r="G289" s="203">
        <f>SUM(G222:G285)</f>
        <v>87152293</v>
      </c>
      <c r="H289" s="203">
        <f>SUM(H222:H285)</f>
        <v>151037000</v>
      </c>
      <c r="I289" s="203">
        <f>SUM(I222:I285)</f>
        <v>151037000</v>
      </c>
    </row>
    <row r="290" spans="2:9">
      <c r="B290" s="41"/>
      <c r="C290" s="41"/>
      <c r="D290" s="42"/>
      <c r="E290" s="43"/>
      <c r="F290" s="42"/>
      <c r="G290" s="42"/>
      <c r="H290" s="42"/>
      <c r="I290" s="42"/>
    </row>
    <row r="291" spans="2:9">
      <c r="B291" s="60" t="s">
        <v>24</v>
      </c>
      <c r="C291" s="25"/>
      <c r="D291" s="25"/>
      <c r="E291" s="61"/>
      <c r="F291" s="62"/>
      <c r="G291" s="61">
        <v>63884707</v>
      </c>
      <c r="H291" s="62"/>
      <c r="I291" s="63"/>
    </row>
    <row r="292" spans="2:9">
      <c r="B292" s="64" t="s">
        <v>25</v>
      </c>
      <c r="C292" s="56"/>
      <c r="D292" s="14"/>
      <c r="E292" s="53"/>
      <c r="F292" s="54"/>
      <c r="G292" s="59">
        <v>63884707</v>
      </c>
      <c r="H292" s="54"/>
      <c r="I292" s="65"/>
    </row>
    <row r="293" spans="2:9">
      <c r="B293" s="66" t="s">
        <v>26</v>
      </c>
      <c r="C293" s="67"/>
      <c r="D293" s="24"/>
      <c r="E293" s="68"/>
      <c r="F293" s="55"/>
      <c r="G293" s="69">
        <f>G291-G292</f>
        <v>0</v>
      </c>
      <c r="H293" s="55"/>
      <c r="I293" s="70"/>
    </row>
  </sheetData>
  <mergeCells count="20">
    <mergeCell ref="B213:I213"/>
    <mergeCell ref="B214:I214"/>
    <mergeCell ref="B215:I215"/>
    <mergeCell ref="B216:I216"/>
    <mergeCell ref="B220:C220"/>
    <mergeCell ref="B131:I131"/>
    <mergeCell ref="B132:I132"/>
    <mergeCell ref="B133:I133"/>
    <mergeCell ref="B134:I134"/>
    <mergeCell ref="B138:C138"/>
    <mergeCell ref="B2:I2"/>
    <mergeCell ref="B3:I3"/>
    <mergeCell ref="B4:I4"/>
    <mergeCell ref="B5:I5"/>
    <mergeCell ref="B9:C9"/>
    <mergeCell ref="B75:I75"/>
    <mergeCell ref="B76:I76"/>
    <mergeCell ref="B77:I77"/>
    <mergeCell ref="B78:I78"/>
    <mergeCell ref="B82:C82"/>
  </mergeCells>
  <printOptions horizontalCentered="1"/>
  <pageMargins left="0.7" right="0.7" top="0.75" bottom="0.75" header="0.3" footer="0.3"/>
  <pageSetup scale="56" orientation="portrait" r:id="rId1"/>
  <rowBreaks count="3" manualBreakCount="3">
    <brk id="73" min="1" max="8" man="1"/>
    <brk id="129" min="1" max="8" man="1"/>
    <brk id="211"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192"/>
  <sheetViews>
    <sheetView zoomScaleNormal="100" workbookViewId="0">
      <selection activeCell="B24" sqref="B24"/>
    </sheetView>
  </sheetViews>
  <sheetFormatPr defaultRowHeight="15"/>
  <cols>
    <col min="1" max="1" width="4" style="14" customWidth="1"/>
    <col min="2" max="2" width="23.140625" bestFit="1" customWidth="1"/>
    <col min="3" max="3" width="85.85546875" customWidth="1"/>
    <col min="4" max="7" width="16.28515625" customWidth="1"/>
    <col min="8" max="8" width="0" style="14" hidden="1" customWidth="1"/>
    <col min="9" max="10" width="9.140625" style="14" customWidth="1"/>
    <col min="11" max="39" width="9.140625" style="14"/>
  </cols>
  <sheetData>
    <row r="1" spans="2:9" ht="18.75" customHeight="1">
      <c r="B1" s="224" t="s">
        <v>94</v>
      </c>
      <c r="C1" s="225"/>
      <c r="D1" s="225"/>
      <c r="E1" s="225"/>
      <c r="F1" s="225"/>
      <c r="G1" s="225"/>
    </row>
    <row r="2" spans="2:9" ht="18.75" customHeight="1">
      <c r="B2" s="224" t="s">
        <v>112</v>
      </c>
      <c r="C2" s="225"/>
      <c r="D2" s="225"/>
      <c r="E2" s="225"/>
      <c r="F2" s="225"/>
      <c r="G2" s="225"/>
    </row>
    <row r="3" spans="2:9" ht="18.75" customHeight="1">
      <c r="B3" s="224" t="s">
        <v>113</v>
      </c>
      <c r="C3" s="225"/>
      <c r="D3" s="225"/>
      <c r="E3" s="225"/>
      <c r="F3" s="225"/>
      <c r="G3" s="225"/>
    </row>
    <row r="4" spans="2:9" ht="19.5" customHeight="1" thickBot="1">
      <c r="B4" s="226" t="s">
        <v>108</v>
      </c>
      <c r="C4" s="227"/>
      <c r="D4" s="227"/>
      <c r="E4" s="227"/>
      <c r="F4" s="227"/>
      <c r="G4" s="227"/>
    </row>
    <row r="5" spans="2:9" ht="15.75" thickBot="1">
      <c r="B5" s="228" t="s">
        <v>12</v>
      </c>
      <c r="C5" s="230" t="s">
        <v>13</v>
      </c>
      <c r="D5" s="232" t="s">
        <v>17</v>
      </c>
      <c r="E5" s="234" t="s">
        <v>18</v>
      </c>
      <c r="F5" s="235"/>
      <c r="G5" s="236"/>
    </row>
    <row r="6" spans="2:9" ht="15.75" thickBot="1">
      <c r="B6" s="229"/>
      <c r="C6" s="231"/>
      <c r="D6" s="233"/>
      <c r="E6" s="28" t="s">
        <v>14</v>
      </c>
      <c r="F6" s="28" t="s">
        <v>15</v>
      </c>
      <c r="G6" s="28" t="s">
        <v>16</v>
      </c>
    </row>
    <row r="7" spans="2:9" ht="51">
      <c r="B7" s="31" t="s">
        <v>91</v>
      </c>
      <c r="C7" s="160" t="s">
        <v>66</v>
      </c>
      <c r="D7" s="140">
        <v>9870000</v>
      </c>
      <c r="E7" s="140">
        <v>9870000</v>
      </c>
      <c r="F7" s="140">
        <v>8608700</v>
      </c>
      <c r="G7" s="141">
        <f>SUM(E7:F7)</f>
        <v>18478700</v>
      </c>
    </row>
    <row r="8" spans="2:9" ht="15.75" thickBot="1">
      <c r="B8" s="159"/>
      <c r="C8" s="159"/>
      <c r="D8" s="32"/>
      <c r="E8" s="31"/>
      <c r="F8" s="32"/>
      <c r="G8" s="32"/>
    </row>
    <row r="9" spans="2:9" ht="52.9" customHeight="1">
      <c r="B9" s="31" t="s">
        <v>90</v>
      </c>
      <c r="C9" s="27" t="s">
        <v>67</v>
      </c>
      <c r="D9" s="162">
        <v>58015000</v>
      </c>
      <c r="E9" s="162">
        <v>53260000</v>
      </c>
      <c r="F9" s="162">
        <v>15147913</v>
      </c>
      <c r="G9" s="163">
        <f>SUM(E9:F9)</f>
        <v>68407913</v>
      </c>
    </row>
    <row r="10" spans="2:9" ht="6" customHeight="1" thickBot="1">
      <c r="B10" s="159"/>
      <c r="C10" s="159"/>
      <c r="D10" s="159"/>
      <c r="E10" s="159"/>
      <c r="F10" s="159"/>
      <c r="G10" s="159"/>
    </row>
    <row r="11" spans="2:9" ht="38.25">
      <c r="B11" s="31" t="s">
        <v>97</v>
      </c>
      <c r="C11" s="160" t="s">
        <v>92</v>
      </c>
      <c r="D11" s="162">
        <v>151650345</v>
      </c>
      <c r="E11" s="162">
        <v>151650345</v>
      </c>
      <c r="F11" s="162">
        <v>186928555</v>
      </c>
      <c r="G11" s="163">
        <f>SUM(E11:F11)</f>
        <v>338578900</v>
      </c>
    </row>
    <row r="12" spans="2:9" ht="18.75" customHeight="1" thickBot="1">
      <c r="B12" s="159"/>
      <c r="C12" s="159"/>
      <c r="D12" s="159"/>
      <c r="E12" s="159"/>
      <c r="F12" s="159"/>
      <c r="G12" s="159"/>
      <c r="H12" s="32"/>
      <c r="I12" s="32"/>
    </row>
    <row r="13" spans="2:9" ht="18.75" hidden="1" customHeight="1" thickBot="1">
      <c r="B13" s="159"/>
      <c r="C13" s="159"/>
      <c r="D13" s="159"/>
      <c r="E13" s="159"/>
      <c r="F13" s="159"/>
      <c r="G13" s="159"/>
      <c r="H13" s="198"/>
      <c r="I13" s="198"/>
    </row>
    <row r="14" spans="2:9" ht="51">
      <c r="B14" s="31" t="s">
        <v>98</v>
      </c>
      <c r="C14" s="160" t="s">
        <v>93</v>
      </c>
      <c r="D14" s="162">
        <v>63884707</v>
      </c>
      <c r="E14" s="162">
        <v>63884707</v>
      </c>
      <c r="F14" s="162">
        <v>87152293</v>
      </c>
      <c r="G14" s="163">
        <f>SUM(E14:F14)</f>
        <v>151037000</v>
      </c>
    </row>
    <row r="15" spans="2:9" ht="2.25" customHeight="1">
      <c r="B15" s="31"/>
      <c r="C15" s="27"/>
      <c r="D15" s="140"/>
      <c r="E15" s="140"/>
      <c r="F15" s="140"/>
      <c r="G15" s="141"/>
    </row>
    <row r="16" spans="2:9" ht="7.5" customHeight="1">
      <c r="B16" s="199"/>
      <c r="C16" s="200"/>
      <c r="D16" s="199"/>
      <c r="E16" s="200"/>
      <c r="F16" s="199"/>
      <c r="G16" s="200"/>
    </row>
    <row r="17" spans="2:7">
      <c r="B17" s="201"/>
      <c r="C17" s="27"/>
      <c r="D17" s="140"/>
      <c r="E17" s="140"/>
      <c r="F17" s="140"/>
      <c r="G17" s="141"/>
    </row>
    <row r="18" spans="2:7" ht="15.75" thickBot="1">
      <c r="B18" s="31"/>
      <c r="C18" s="27"/>
      <c r="D18" s="140"/>
      <c r="E18" s="140"/>
      <c r="F18" s="140"/>
      <c r="G18" s="141"/>
    </row>
    <row r="19" spans="2:7" s="14" customFormat="1" ht="20.25" customHeight="1" thickBot="1">
      <c r="B19" s="29" t="s">
        <v>16</v>
      </c>
      <c r="C19" s="104"/>
      <c r="D19" s="30">
        <f>SUM(D7:D18)</f>
        <v>283420052</v>
      </c>
      <c r="E19" s="30">
        <f>SUM(E7:E18)</f>
        <v>278665052</v>
      </c>
      <c r="F19" s="30">
        <f>SUM(F7:F18)</f>
        <v>297837461</v>
      </c>
      <c r="G19" s="30">
        <f>SUM(G7:G18)</f>
        <v>576502513</v>
      </c>
    </row>
    <row r="20" spans="2:7" s="14" customFormat="1" ht="15.75" thickBot="1">
      <c r="B20" s="161"/>
      <c r="C20" s="161"/>
    </row>
    <row r="21" spans="2:7" s="14" customFormat="1" ht="49.5" customHeight="1" thickBot="1">
      <c r="B21" s="161"/>
      <c r="C21" s="33" t="s">
        <v>109</v>
      </c>
      <c r="D21" s="35">
        <v>914820</v>
      </c>
      <c r="E21" s="35">
        <f>D21</f>
        <v>914820</v>
      </c>
      <c r="F21" s="35">
        <f>D21</f>
        <v>914820</v>
      </c>
      <c r="G21" s="35">
        <v>914820</v>
      </c>
    </row>
    <row r="22" spans="2:7" s="14" customFormat="1">
      <c r="C22" s="34" t="s">
        <v>42</v>
      </c>
      <c r="D22" s="36">
        <f>D19/D21</f>
        <v>309.80963686845502</v>
      </c>
      <c r="E22" s="36">
        <f>E19/E21</f>
        <v>304.61189304999891</v>
      </c>
      <c r="F22" s="36">
        <f>F19/F21</f>
        <v>325.56946831070593</v>
      </c>
      <c r="G22" s="36">
        <f>G19/G21</f>
        <v>630.18136136070484</v>
      </c>
    </row>
    <row r="23" spans="2:7" s="14" customFormat="1">
      <c r="C23" s="34"/>
      <c r="D23" s="36"/>
      <c r="E23" s="36"/>
      <c r="F23" s="36"/>
      <c r="G23" s="36"/>
    </row>
    <row r="24" spans="2:7" s="14" customFormat="1">
      <c r="B24" s="14" t="s">
        <v>114</v>
      </c>
    </row>
    <row r="25" spans="2:7" s="14" customFormat="1"/>
    <row r="26" spans="2:7" s="14" customFormat="1"/>
    <row r="27" spans="2:7" s="14" customFormat="1"/>
    <row r="28" spans="2:7" s="14" customFormat="1"/>
    <row r="29" spans="2:7" s="14" customFormat="1"/>
    <row r="30" spans="2:7" s="14" customFormat="1"/>
    <row r="31" spans="2:7" s="14" customFormat="1"/>
    <row r="32" spans="2:7" s="14" customFormat="1"/>
    <row r="33" s="14" customFormat="1"/>
    <row r="34" s="14" customFormat="1"/>
    <row r="35" s="14" customFormat="1"/>
    <row r="36" s="14" customFormat="1"/>
    <row r="37" s="14" customFormat="1"/>
    <row r="38" s="14" customFormat="1"/>
    <row r="39" s="14" customFormat="1"/>
    <row r="40" s="14" customFormat="1"/>
    <row r="41" s="14" customFormat="1"/>
    <row r="42" s="14" customFormat="1"/>
    <row r="43" s="14" customFormat="1"/>
    <row r="44" s="14" customFormat="1"/>
    <row r="45" s="14" customFormat="1"/>
    <row r="46" s="14" customFormat="1"/>
    <row r="47" s="14" customFormat="1"/>
    <row r="48" s="14" customFormat="1"/>
    <row r="49" s="14" customFormat="1"/>
    <row r="50" s="14" customFormat="1"/>
    <row r="51" s="14" customFormat="1"/>
    <row r="52" s="14" customFormat="1"/>
    <row r="53" s="14" customFormat="1"/>
    <row r="54" s="14" customFormat="1"/>
    <row r="55" s="14" customFormat="1"/>
    <row r="56" s="14" customFormat="1"/>
    <row r="57" s="14" customFormat="1"/>
    <row r="58" s="14" customFormat="1"/>
    <row r="59" s="14" customFormat="1"/>
    <row r="60" s="14" customFormat="1"/>
    <row r="61" s="14" customFormat="1"/>
    <row r="62" s="14" customFormat="1"/>
    <row r="63" s="14" customFormat="1"/>
    <row r="64" s="14" customFormat="1"/>
    <row r="65" s="14" customFormat="1"/>
    <row r="66" s="14" customFormat="1"/>
    <row r="67" s="14" customFormat="1"/>
    <row r="68" s="14" customFormat="1"/>
    <row r="69" s="14" customFormat="1"/>
    <row r="70" s="14" customFormat="1"/>
    <row r="71" s="14" customFormat="1"/>
    <row r="72" s="14" customFormat="1"/>
    <row r="73" s="14" customFormat="1"/>
    <row r="74" s="14" customFormat="1"/>
    <row r="75" s="14" customFormat="1"/>
    <row r="76" s="14" customFormat="1"/>
    <row r="77" s="14" customFormat="1"/>
    <row r="78" s="14" customFormat="1"/>
    <row r="79" s="14" customFormat="1"/>
    <row r="80" s="14" customFormat="1"/>
    <row r="81" s="14" customFormat="1"/>
    <row r="82" s="14" customFormat="1"/>
    <row r="83" s="14" customFormat="1"/>
    <row r="84" s="14" customFormat="1"/>
    <row r="85" s="14" customFormat="1"/>
    <row r="86" s="14" customFormat="1"/>
    <row r="87" s="14" customFormat="1"/>
    <row r="88" s="14" customFormat="1"/>
    <row r="89" s="14" customFormat="1"/>
    <row r="90" s="14" customFormat="1"/>
    <row r="91" s="14" customFormat="1"/>
    <row r="92" s="14" customFormat="1"/>
    <row r="93" s="14" customFormat="1"/>
    <row r="94" s="14" customFormat="1"/>
    <row r="95" s="14" customFormat="1"/>
    <row r="96" s="14" customFormat="1"/>
    <row r="97" s="14" customFormat="1"/>
    <row r="98" s="14" customFormat="1"/>
    <row r="99" s="14" customFormat="1"/>
    <row r="100" s="14" customFormat="1"/>
    <row r="101" s="14" customFormat="1"/>
    <row r="102" s="14" customFormat="1"/>
    <row r="103" s="14" customFormat="1"/>
    <row r="104" s="14" customFormat="1"/>
    <row r="105" s="14" customFormat="1"/>
    <row r="106" s="14" customFormat="1"/>
    <row r="107" s="14" customFormat="1"/>
    <row r="108" s="14" customFormat="1"/>
    <row r="109" s="14" customFormat="1"/>
    <row r="110" s="14" customFormat="1"/>
    <row r="111" s="14" customFormat="1"/>
    <row r="112" s="14" customFormat="1"/>
    <row r="113" s="14" customFormat="1"/>
    <row r="114" s="14" customFormat="1"/>
    <row r="115" s="14" customFormat="1"/>
    <row r="116" s="14" customFormat="1"/>
    <row r="117" s="14" customFormat="1"/>
    <row r="118" s="14" customFormat="1"/>
    <row r="119" s="14" customFormat="1"/>
    <row r="120" s="14" customFormat="1"/>
    <row r="121" s="14" customFormat="1"/>
    <row r="122" s="14" customFormat="1"/>
    <row r="123" s="14" customFormat="1"/>
    <row r="124" s="14" customFormat="1"/>
    <row r="125" s="14" customFormat="1"/>
    <row r="126" s="14" customFormat="1"/>
    <row r="127" s="14" customFormat="1"/>
    <row r="128" s="14" customFormat="1"/>
    <row r="129" s="14" customFormat="1"/>
    <row r="130" s="14" customFormat="1"/>
    <row r="131" s="14" customFormat="1"/>
    <row r="132" s="14" customFormat="1"/>
    <row r="133" s="14" customFormat="1"/>
    <row r="134" s="14" customFormat="1"/>
    <row r="135" s="14" customFormat="1"/>
    <row r="136" s="14" customFormat="1"/>
    <row r="137" s="14" customFormat="1"/>
    <row r="138" s="14" customFormat="1"/>
    <row r="139" s="14" customFormat="1"/>
    <row r="140" s="14" customFormat="1"/>
    <row r="141" s="14" customFormat="1"/>
    <row r="142" s="14" customFormat="1"/>
    <row r="143" s="14" customFormat="1"/>
    <row r="144" s="14" customFormat="1"/>
    <row r="145" s="14" customFormat="1"/>
    <row r="146" s="14" customFormat="1"/>
    <row r="147" s="14" customFormat="1"/>
    <row r="148" s="14" customFormat="1"/>
    <row r="149" s="14" customFormat="1"/>
    <row r="150" s="14" customFormat="1"/>
    <row r="151" s="14" customFormat="1"/>
    <row r="152" s="14" customFormat="1"/>
    <row r="153" s="14" customFormat="1"/>
    <row r="154" s="14" customFormat="1"/>
    <row r="155" s="14" customFormat="1"/>
    <row r="156" s="14" customFormat="1"/>
    <row r="157" s="14" customFormat="1"/>
    <row r="158" s="14" customFormat="1"/>
    <row r="159" s="14" customFormat="1"/>
    <row r="160" s="14" customFormat="1"/>
    <row r="161" s="14" customFormat="1"/>
    <row r="162" s="14" customFormat="1"/>
    <row r="163" s="14" customFormat="1"/>
    <row r="164" s="14" customFormat="1"/>
    <row r="165" s="14" customFormat="1"/>
    <row r="166" s="14" customFormat="1"/>
    <row r="167" s="14" customFormat="1"/>
    <row r="168" s="14" customFormat="1"/>
    <row r="169" s="14" customFormat="1"/>
    <row r="170" s="14" customFormat="1"/>
    <row r="171" s="14" customFormat="1"/>
    <row r="172" s="14" customFormat="1"/>
    <row r="173" s="14" customFormat="1"/>
    <row r="174" s="14" customFormat="1"/>
    <row r="175" s="14" customFormat="1"/>
    <row r="176" s="14" customFormat="1"/>
    <row r="177" s="14" customFormat="1"/>
    <row r="178" s="14" customFormat="1"/>
    <row r="179" s="14" customFormat="1"/>
    <row r="180" s="14" customFormat="1"/>
    <row r="181" s="14" customFormat="1"/>
    <row r="182" s="14" customFormat="1"/>
    <row r="183" s="14" customFormat="1"/>
    <row r="184" s="14" customFormat="1"/>
    <row r="185" s="14" customFormat="1"/>
    <row r="186" s="14" customFormat="1"/>
    <row r="187" s="14" customFormat="1"/>
    <row r="188" s="14" customFormat="1"/>
    <row r="189" s="14" customFormat="1"/>
    <row r="190" s="14" customFormat="1"/>
    <row r="191" s="14" customFormat="1"/>
    <row r="192" s="14" customFormat="1"/>
  </sheetData>
  <mergeCells count="8">
    <mergeCell ref="B1:G1"/>
    <mergeCell ref="B4:G4"/>
    <mergeCell ref="B5:B6"/>
    <mergeCell ref="C5:C6"/>
    <mergeCell ref="D5:D6"/>
    <mergeCell ref="E5:G5"/>
    <mergeCell ref="B2:G2"/>
    <mergeCell ref="B3:G3"/>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EE17-ACB8-4298-9F83-6F1DE89AEDFA}">
  <dimension ref="A3:K13"/>
  <sheetViews>
    <sheetView zoomScaleNormal="100" workbookViewId="0">
      <selection activeCell="O31" sqref="O31"/>
    </sheetView>
  </sheetViews>
  <sheetFormatPr defaultColWidth="9.140625" defaultRowHeight="15"/>
  <cols>
    <col min="2" max="2" width="15.85546875" bestFit="1" customWidth="1"/>
  </cols>
  <sheetData>
    <row r="3" spans="1:11">
      <c r="A3" s="114" t="s">
        <v>44</v>
      </c>
      <c r="B3" s="138" t="s">
        <v>53</v>
      </c>
    </row>
    <row r="4" spans="1:11">
      <c r="A4">
        <v>2020</v>
      </c>
      <c r="B4" s="139">
        <v>91975000</v>
      </c>
      <c r="J4" s="142"/>
      <c r="K4" s="143"/>
    </row>
    <row r="5" spans="1:11">
      <c r="A5">
        <v>2021</v>
      </c>
      <c r="B5" s="139">
        <v>93242510</v>
      </c>
      <c r="J5" s="142"/>
      <c r="K5" s="143"/>
    </row>
    <row r="6" spans="1:11">
      <c r="A6">
        <v>2022</v>
      </c>
      <c r="B6" s="139">
        <v>283230052</v>
      </c>
      <c r="J6" s="142"/>
      <c r="K6" s="143"/>
    </row>
    <row r="7" spans="1:11">
      <c r="A7">
        <v>2023</v>
      </c>
      <c r="B7" s="139">
        <v>280990052</v>
      </c>
      <c r="J7" s="142"/>
      <c r="K7" s="143"/>
    </row>
    <row r="8" spans="1:11">
      <c r="A8">
        <v>2024</v>
      </c>
      <c r="B8" s="139">
        <v>278665052</v>
      </c>
      <c r="J8" s="142"/>
      <c r="K8" s="143"/>
    </row>
    <row r="13" spans="1:11">
      <c r="B13" s="139"/>
    </row>
  </sheetData>
  <printOptions horizontalCentered="1"/>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BBE21-014A-4EF8-8C0F-75AF30186EE8}">
  <dimension ref="A1:J16"/>
  <sheetViews>
    <sheetView workbookViewId="0">
      <selection activeCell="B16" sqref="B16"/>
    </sheetView>
  </sheetViews>
  <sheetFormatPr defaultColWidth="9.140625" defaultRowHeight="15"/>
  <cols>
    <col min="1" max="1" width="9.42578125" bestFit="1" customWidth="1"/>
    <col min="2" max="2" width="17.7109375" style="127" customWidth="1"/>
    <col min="3" max="3" width="10.5703125" style="127" bestFit="1" customWidth="1"/>
    <col min="4" max="4" width="21.28515625" style="128" bestFit="1" customWidth="1"/>
    <col min="5" max="5" width="18.85546875" style="127" bestFit="1" customWidth="1"/>
    <col min="6" max="6" width="3.7109375" customWidth="1"/>
    <col min="7" max="7" width="17.42578125" bestFit="1" customWidth="1"/>
    <col min="8" max="8" width="36.5703125" bestFit="1" customWidth="1"/>
    <col min="9" max="9" width="12.5703125" bestFit="1" customWidth="1"/>
    <col min="10" max="10" width="11.5703125" bestFit="1" customWidth="1"/>
  </cols>
  <sheetData>
    <row r="1" spans="1:10" ht="45">
      <c r="A1" s="114" t="s">
        <v>44</v>
      </c>
      <c r="B1" s="114" t="s">
        <v>47</v>
      </c>
      <c r="C1" s="114" t="s">
        <v>48</v>
      </c>
      <c r="D1" s="114" t="s">
        <v>110</v>
      </c>
      <c r="E1" s="114" t="s">
        <v>49</v>
      </c>
      <c r="G1" s="114"/>
    </row>
    <row r="2" spans="1:10">
      <c r="A2">
        <v>2020</v>
      </c>
      <c r="B2" s="115">
        <v>105.1</v>
      </c>
      <c r="C2" s="116">
        <v>875116</v>
      </c>
      <c r="D2" s="123">
        <v>1.08</v>
      </c>
      <c r="E2" s="118">
        <f t="shared" ref="E2:E5" si="0">B2*D2</f>
        <v>113.508</v>
      </c>
      <c r="G2" s="119"/>
      <c r="H2" s="120"/>
      <c r="I2" s="121"/>
      <c r="J2" s="122"/>
    </row>
    <row r="3" spans="1:10">
      <c r="A3">
        <v>2021</v>
      </c>
      <c r="B3" s="115">
        <v>101.94</v>
      </c>
      <c r="C3" s="116">
        <v>881525</v>
      </c>
      <c r="D3" s="123">
        <v>1.07</v>
      </c>
      <c r="E3" s="118">
        <f t="shared" si="0"/>
        <v>109.0758</v>
      </c>
      <c r="G3" s="119"/>
      <c r="H3" s="120"/>
      <c r="I3" s="121"/>
    </row>
    <row r="4" spans="1:10">
      <c r="A4">
        <v>2022</v>
      </c>
      <c r="B4" s="115">
        <v>318.82</v>
      </c>
      <c r="C4" s="116">
        <v>888367</v>
      </c>
      <c r="D4" s="123">
        <v>1.06</v>
      </c>
      <c r="E4" s="118">
        <f t="shared" si="0"/>
        <v>337.94920000000002</v>
      </c>
      <c r="G4" s="119"/>
      <c r="H4" s="120"/>
      <c r="I4" s="121"/>
    </row>
    <row r="5" spans="1:10">
      <c r="A5">
        <v>2023</v>
      </c>
      <c r="B5" s="115">
        <v>312.74</v>
      </c>
      <c r="C5" s="116">
        <v>898471</v>
      </c>
      <c r="D5" s="123">
        <v>1.03</v>
      </c>
      <c r="E5" s="118">
        <f t="shared" si="0"/>
        <v>322.12220000000002</v>
      </c>
      <c r="G5" s="117"/>
      <c r="H5" s="124"/>
      <c r="I5" s="125"/>
    </row>
    <row r="6" spans="1:10">
      <c r="A6">
        <v>2024</v>
      </c>
      <c r="B6" s="115">
        <v>304.61</v>
      </c>
      <c r="C6" s="116">
        <v>914820</v>
      </c>
      <c r="D6" s="123">
        <v>1.03</v>
      </c>
      <c r="E6" s="118">
        <f t="shared" ref="E6" si="1">B6*D6</f>
        <v>313.74830000000003</v>
      </c>
      <c r="F6" s="118"/>
      <c r="G6" s="117"/>
      <c r="H6" s="126"/>
    </row>
    <row r="8" spans="1:10" ht="29.45" customHeight="1">
      <c r="A8" s="237" t="s">
        <v>50</v>
      </c>
      <c r="B8" s="237"/>
      <c r="C8" s="237"/>
      <c r="D8" s="237"/>
      <c r="E8" s="237"/>
    </row>
    <row r="9" spans="1:10">
      <c r="A9" t="s">
        <v>51</v>
      </c>
    </row>
    <row r="10" spans="1:10">
      <c r="A10" t="s">
        <v>52</v>
      </c>
      <c r="B10" s="129"/>
      <c r="C10" s="130"/>
      <c r="D10" s="131"/>
      <c r="G10" s="132"/>
    </row>
    <row r="11" spans="1:10">
      <c r="B11" s="129"/>
      <c r="C11" s="130"/>
      <c r="D11" s="131"/>
      <c r="G11" s="122"/>
      <c r="I11" s="133"/>
    </row>
    <row r="12" spans="1:10">
      <c r="B12" s="129"/>
      <c r="C12" s="130"/>
      <c r="D12" s="131"/>
      <c r="G12" s="132"/>
    </row>
    <row r="13" spans="1:10">
      <c r="B13" s="129"/>
      <c r="C13" s="130"/>
      <c r="D13" s="131"/>
      <c r="E13" s="134"/>
      <c r="G13" s="135"/>
      <c r="I13" s="136"/>
    </row>
    <row r="14" spans="1:10">
      <c r="B14" s="129"/>
      <c r="C14" s="130"/>
      <c r="G14" s="133"/>
    </row>
    <row r="15" spans="1:10">
      <c r="G15" s="137"/>
    </row>
    <row r="16" spans="1:10">
      <c r="G16" s="135"/>
    </row>
  </sheetData>
  <mergeCells count="1">
    <mergeCell ref="A8:E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Aggregate</vt:lpstr>
      <vt:lpstr>Aggregate History</vt:lpstr>
      <vt:lpstr>FY 2024 Bonds </vt:lpstr>
      <vt:lpstr>Rev Debt</vt:lpstr>
      <vt:lpstr>Rev Debt - Maturity</vt:lpstr>
      <vt:lpstr>Rev Debt - Proceeds</vt:lpstr>
      <vt:lpstr>Outstanding debt</vt:lpstr>
      <vt:lpstr>CPI Index Data</vt:lpstr>
      <vt:lpstr>Aggregate!Print_Area</vt:lpstr>
      <vt:lpstr>'Aggregate History'!Print_Area</vt:lpstr>
      <vt:lpstr>'CPI Index Data'!Print_Area</vt:lpstr>
      <vt:lpstr>'FY 2024 Bonds '!Print_Area</vt:lpstr>
      <vt:lpstr>'Rev Debt'!Print_Area</vt:lpstr>
      <vt:lpstr>'Rev Debt - Maturity'!Print_Area</vt:lpstr>
      <vt:lpstr>'Rev Debt - Proceeds'!Print_Area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Castillo</dc:creator>
  <cp:lastModifiedBy>Jose Castillo</cp:lastModifiedBy>
  <cp:lastPrinted>2025-05-15T15:13:29Z</cp:lastPrinted>
  <dcterms:created xsi:type="dcterms:W3CDTF">2017-02-02T17:22:07Z</dcterms:created>
  <dcterms:modified xsi:type="dcterms:W3CDTF">2025-05-15T15:16:38Z</dcterms:modified>
</cp:coreProperties>
</file>